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nsparencia\REMUNICERAIONES 2016\"/>
    </mc:Choice>
  </mc:AlternateContent>
  <bookViews>
    <workbookView xWindow="0" yWindow="0" windowWidth="20490" windowHeight="6855"/>
  </bookViews>
  <sheets>
    <sheet name="Hoja1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L16" i="1" s="1"/>
  <c r="M16" i="1" s="1"/>
  <c r="K119" i="1"/>
  <c r="L119" i="1" s="1"/>
  <c r="M119" i="1" s="1"/>
  <c r="K134" i="1"/>
  <c r="L134" i="1" s="1"/>
  <c r="K136" i="1"/>
  <c r="K146" i="1"/>
  <c r="L146" i="1" s="1"/>
  <c r="K150" i="1"/>
  <c r="L150" i="1" s="1"/>
  <c r="K153" i="1"/>
  <c r="N153" i="1" s="1"/>
  <c r="K189" i="1"/>
  <c r="K190" i="1"/>
  <c r="L190" i="1" s="1"/>
  <c r="K191" i="1"/>
  <c r="L191" i="1" s="1"/>
  <c r="P191" i="1"/>
  <c r="X192" i="1"/>
  <c r="H192" i="1"/>
  <c r="Y192" i="1" s="1"/>
  <c r="H191" i="1"/>
  <c r="H190" i="1"/>
  <c r="H189" i="1"/>
  <c r="E186" i="1"/>
  <c r="H186" i="1" s="1"/>
  <c r="K186" i="1" s="1"/>
  <c r="L186" i="1" s="1"/>
  <c r="E185" i="1"/>
  <c r="H185" i="1" s="1"/>
  <c r="K185" i="1" s="1"/>
  <c r="E184" i="1"/>
  <c r="H184" i="1" s="1"/>
  <c r="K184" i="1" s="1"/>
  <c r="E183" i="1"/>
  <c r="H183" i="1" s="1"/>
  <c r="K183" i="1" s="1"/>
  <c r="N183" i="1" s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4" i="1"/>
  <c r="H154" i="1" s="1"/>
  <c r="K154" i="1" s="1"/>
  <c r="N154" i="1" s="1"/>
  <c r="E152" i="1"/>
  <c r="H152" i="1" s="1"/>
  <c r="K152" i="1" s="1"/>
  <c r="E149" i="1"/>
  <c r="H149" i="1" s="1"/>
  <c r="K149" i="1" s="1"/>
  <c r="E148" i="1"/>
  <c r="H148" i="1" s="1"/>
  <c r="K148" i="1" s="1"/>
  <c r="E145" i="1"/>
  <c r="H145" i="1" s="1"/>
  <c r="K145" i="1" s="1"/>
  <c r="E144" i="1"/>
  <c r="H144" i="1" s="1"/>
  <c r="K144" i="1" s="1"/>
  <c r="E143" i="1"/>
  <c r="H143" i="1" s="1"/>
  <c r="K143" i="1" s="1"/>
  <c r="E142" i="1"/>
  <c r="H142" i="1" s="1"/>
  <c r="K142" i="1" s="1"/>
  <c r="P142" i="1" s="1"/>
  <c r="E141" i="1"/>
  <c r="H141" i="1" s="1"/>
  <c r="K141" i="1" s="1"/>
  <c r="E140" i="1"/>
  <c r="H140" i="1" s="1"/>
  <c r="K140" i="1" s="1"/>
  <c r="P140" i="1" s="1"/>
  <c r="E139" i="1"/>
  <c r="H139" i="1" s="1"/>
  <c r="K139" i="1" s="1"/>
  <c r="E138" i="1"/>
  <c r="H138" i="1" s="1"/>
  <c r="K138" i="1" s="1"/>
  <c r="R138" i="1" s="1"/>
  <c r="X136" i="1"/>
  <c r="Y136" i="1" s="1"/>
  <c r="E136" i="1"/>
  <c r="X134" i="1"/>
  <c r="Y134" i="1" s="1"/>
  <c r="E133" i="1"/>
  <c r="H133" i="1" s="1"/>
  <c r="E132" i="1"/>
  <c r="H132" i="1" s="1"/>
  <c r="K132" i="1" s="1"/>
  <c r="L132" i="1" s="1"/>
  <c r="E131" i="1"/>
  <c r="H131" i="1" s="1"/>
  <c r="K131" i="1" s="1"/>
  <c r="E130" i="1"/>
  <c r="H130" i="1" s="1"/>
  <c r="K130" i="1" s="1"/>
  <c r="E129" i="1"/>
  <c r="H129" i="1" s="1"/>
  <c r="K129" i="1" s="1"/>
  <c r="L129" i="1" s="1"/>
  <c r="E128" i="1"/>
  <c r="H128" i="1" s="1"/>
  <c r="K128" i="1" s="1"/>
  <c r="V127" i="1"/>
  <c r="X127" i="1" s="1"/>
  <c r="E127" i="1"/>
  <c r="H127" i="1" s="1"/>
  <c r="E126" i="1"/>
  <c r="H126" i="1" s="1"/>
  <c r="K126" i="1" s="1"/>
  <c r="E125" i="1"/>
  <c r="H125" i="1" s="1"/>
  <c r="K125" i="1" s="1"/>
  <c r="P125" i="1" s="1"/>
  <c r="E124" i="1"/>
  <c r="H124" i="1" s="1"/>
  <c r="K124" i="1" s="1"/>
  <c r="E123" i="1"/>
  <c r="H123" i="1" s="1"/>
  <c r="K123" i="1" s="1"/>
  <c r="P123" i="1" s="1"/>
  <c r="E122" i="1"/>
  <c r="H122" i="1" s="1"/>
  <c r="K122" i="1" s="1"/>
  <c r="X121" i="1"/>
  <c r="E121" i="1"/>
  <c r="H121" i="1" s="1"/>
  <c r="K121" i="1" s="1"/>
  <c r="P121" i="1" s="1"/>
  <c r="E120" i="1"/>
  <c r="H120" i="1" s="1"/>
  <c r="K120" i="1" s="1"/>
  <c r="X119" i="1"/>
  <c r="E119" i="1"/>
  <c r="E118" i="1"/>
  <c r="H118" i="1" s="1"/>
  <c r="K118" i="1" s="1"/>
  <c r="E117" i="1"/>
  <c r="H117" i="1" s="1"/>
  <c r="K117" i="1" s="1"/>
  <c r="R117" i="1" s="1"/>
  <c r="X115" i="1"/>
  <c r="E115" i="1"/>
  <c r="H115" i="1" s="1"/>
  <c r="K115" i="1" s="1"/>
  <c r="E114" i="1"/>
  <c r="H114" i="1" s="1"/>
  <c r="K114" i="1" s="1"/>
  <c r="P114" i="1" s="1"/>
  <c r="E112" i="1"/>
  <c r="H112" i="1" s="1"/>
  <c r="K112" i="1" s="1"/>
  <c r="E110" i="1"/>
  <c r="H110" i="1" s="1"/>
  <c r="K110" i="1" s="1"/>
  <c r="N110" i="1" s="1"/>
  <c r="E108" i="1"/>
  <c r="H108" i="1" s="1"/>
  <c r="K108" i="1" s="1"/>
  <c r="E107" i="1"/>
  <c r="H107" i="1" s="1"/>
  <c r="K107" i="1" s="1"/>
  <c r="L107" i="1" s="1"/>
  <c r="E105" i="1"/>
  <c r="H105" i="1" s="1"/>
  <c r="K105" i="1" s="1"/>
  <c r="E103" i="1"/>
  <c r="H103" i="1" s="1"/>
  <c r="K103" i="1" s="1"/>
  <c r="R103" i="1" s="1"/>
  <c r="E101" i="1"/>
  <c r="H101" i="1" s="1"/>
  <c r="K101" i="1" s="1"/>
  <c r="R101" i="1" s="1"/>
  <c r="E99" i="1"/>
  <c r="H99" i="1" s="1"/>
  <c r="K99" i="1" s="1"/>
  <c r="E95" i="1"/>
  <c r="H95" i="1" s="1"/>
  <c r="K95" i="1" s="1"/>
  <c r="L95" i="1" s="1"/>
  <c r="E94" i="1"/>
  <c r="H94" i="1" s="1"/>
  <c r="K94" i="1" s="1"/>
  <c r="E93" i="1"/>
  <c r="H93" i="1" s="1"/>
  <c r="K93" i="1" s="1"/>
  <c r="E91" i="1"/>
  <c r="H91" i="1" s="1"/>
  <c r="K91" i="1" s="1"/>
  <c r="R91" i="1" s="1"/>
  <c r="E90" i="1"/>
  <c r="H90" i="1" s="1"/>
  <c r="K90" i="1" s="1"/>
  <c r="E89" i="1"/>
  <c r="H89" i="1" s="1"/>
  <c r="K89" i="1" s="1"/>
  <c r="E88" i="1"/>
  <c r="H88" i="1" s="1"/>
  <c r="K88" i="1" s="1"/>
  <c r="E87" i="1"/>
  <c r="H87" i="1" s="1"/>
  <c r="K87" i="1" s="1"/>
  <c r="E86" i="1"/>
  <c r="H86" i="1" s="1"/>
  <c r="K86" i="1" s="1"/>
  <c r="L86" i="1" s="1"/>
  <c r="E85" i="1"/>
  <c r="H85" i="1" s="1"/>
  <c r="K85" i="1" s="1"/>
  <c r="E83" i="1"/>
  <c r="H83" i="1" s="1"/>
  <c r="K83" i="1" s="1"/>
  <c r="N83" i="1" s="1"/>
  <c r="E82" i="1"/>
  <c r="H82" i="1" s="1"/>
  <c r="K82" i="1" s="1"/>
  <c r="E80" i="1"/>
  <c r="H80" i="1" s="1"/>
  <c r="K80" i="1" s="1"/>
  <c r="L80" i="1" s="1"/>
  <c r="E77" i="1"/>
  <c r="H77" i="1" s="1"/>
  <c r="K77" i="1" s="1"/>
  <c r="E75" i="1"/>
  <c r="H75" i="1" s="1"/>
  <c r="K75" i="1" s="1"/>
  <c r="R75" i="1" s="1"/>
  <c r="E73" i="1"/>
  <c r="H73" i="1" s="1"/>
  <c r="K73" i="1" s="1"/>
  <c r="E72" i="1"/>
  <c r="H72" i="1" s="1"/>
  <c r="K72" i="1" s="1"/>
  <c r="P72" i="1" s="1"/>
  <c r="E71" i="1"/>
  <c r="H71" i="1" s="1"/>
  <c r="K71" i="1" s="1"/>
  <c r="E70" i="1"/>
  <c r="H70" i="1" s="1"/>
  <c r="K70" i="1" s="1"/>
  <c r="E68" i="1"/>
  <c r="H68" i="1" s="1"/>
  <c r="K68" i="1" s="1"/>
  <c r="E66" i="1"/>
  <c r="H66" i="1" s="1"/>
  <c r="K66" i="1" s="1"/>
  <c r="E65" i="1"/>
  <c r="H65" i="1" s="1"/>
  <c r="E64" i="1"/>
  <c r="H64" i="1" s="1"/>
  <c r="E63" i="1"/>
  <c r="H63" i="1" s="1"/>
  <c r="K63" i="1" s="1"/>
  <c r="E62" i="1"/>
  <c r="H62" i="1" s="1"/>
  <c r="K62" i="1" s="1"/>
  <c r="E61" i="1"/>
  <c r="H61" i="1" s="1"/>
  <c r="K61" i="1" s="1"/>
  <c r="E60" i="1"/>
  <c r="H60" i="1" s="1"/>
  <c r="K60" i="1" s="1"/>
  <c r="E58" i="1"/>
  <c r="H58" i="1" s="1"/>
  <c r="K58" i="1" s="1"/>
  <c r="E57" i="1"/>
  <c r="H57" i="1" s="1"/>
  <c r="K57" i="1" s="1"/>
  <c r="E56" i="1"/>
  <c r="H56" i="1" s="1"/>
  <c r="K56" i="1" s="1"/>
  <c r="E54" i="1"/>
  <c r="H54" i="1" s="1"/>
  <c r="K54" i="1" s="1"/>
  <c r="E52" i="1"/>
  <c r="H52" i="1" s="1"/>
  <c r="K52" i="1" s="1"/>
  <c r="E49" i="1"/>
  <c r="H49" i="1" s="1"/>
  <c r="K49" i="1" s="1"/>
  <c r="L49" i="1" s="1"/>
  <c r="E48" i="1"/>
  <c r="H48" i="1" s="1"/>
  <c r="K48" i="1" s="1"/>
  <c r="E47" i="1"/>
  <c r="H47" i="1" s="1"/>
  <c r="K47" i="1" s="1"/>
  <c r="E45" i="1"/>
  <c r="H45" i="1" s="1"/>
  <c r="K45" i="1" s="1"/>
  <c r="E44" i="1"/>
  <c r="H44" i="1" s="1"/>
  <c r="K44" i="1" s="1"/>
  <c r="E43" i="1"/>
  <c r="H43" i="1" s="1"/>
  <c r="K43" i="1" s="1"/>
  <c r="E41" i="1"/>
  <c r="H41" i="1" s="1"/>
  <c r="K41" i="1" s="1"/>
  <c r="E40" i="1"/>
  <c r="H40" i="1" s="1"/>
  <c r="K40" i="1" s="1"/>
  <c r="E38" i="1"/>
  <c r="H38" i="1" s="1"/>
  <c r="K38" i="1" s="1"/>
  <c r="X36" i="1"/>
  <c r="U36" i="1"/>
  <c r="E35" i="1"/>
  <c r="H35" i="1" s="1"/>
  <c r="K35" i="1" s="1"/>
  <c r="E33" i="1"/>
  <c r="H33" i="1" s="1"/>
  <c r="K33" i="1" s="1"/>
  <c r="E31" i="1"/>
  <c r="H31" i="1" s="1"/>
  <c r="E30" i="1"/>
  <c r="H30" i="1" s="1"/>
  <c r="X28" i="1"/>
  <c r="E28" i="1"/>
  <c r="H28" i="1" s="1"/>
  <c r="E26" i="1"/>
  <c r="H26" i="1" s="1"/>
  <c r="E24" i="1"/>
  <c r="H24" i="1" s="1"/>
  <c r="E23" i="1"/>
  <c r="H23" i="1" s="1"/>
  <c r="K23" i="1" s="1"/>
  <c r="E22" i="1"/>
  <c r="H22" i="1" s="1"/>
  <c r="E21" i="1"/>
  <c r="H21" i="1" s="1"/>
  <c r="E20" i="1"/>
  <c r="H20" i="1" s="1"/>
  <c r="E17" i="1"/>
  <c r="H17" i="1" s="1"/>
  <c r="K17" i="1" s="1"/>
  <c r="E16" i="1"/>
  <c r="E15" i="1"/>
  <c r="H15" i="1" s="1"/>
  <c r="K15" i="1" s="1"/>
  <c r="E14" i="1"/>
  <c r="H14" i="1" s="1"/>
  <c r="K14" i="1" s="1"/>
  <c r="E13" i="1"/>
  <c r="H13" i="1" s="1"/>
  <c r="K13" i="1" s="1"/>
  <c r="E12" i="1"/>
  <c r="H12" i="1" s="1"/>
  <c r="K12" i="1" s="1"/>
  <c r="E11" i="1"/>
  <c r="H11" i="1" s="1"/>
  <c r="K11" i="1" s="1"/>
  <c r="E10" i="1"/>
  <c r="H10" i="1" s="1"/>
  <c r="K10" i="1" s="1"/>
  <c r="E9" i="1"/>
  <c r="H9" i="1" s="1"/>
  <c r="K9" i="1" s="1"/>
  <c r="E8" i="1"/>
  <c r="H8" i="1" s="1"/>
  <c r="K8" i="1" s="1"/>
  <c r="P150" i="1" l="1"/>
  <c r="R119" i="1"/>
  <c r="P117" i="1"/>
  <c r="P119" i="1"/>
  <c r="R16" i="1"/>
  <c r="N119" i="1"/>
  <c r="N16" i="1"/>
  <c r="O16" i="1" s="1"/>
  <c r="R123" i="1"/>
  <c r="P80" i="1"/>
  <c r="L152" i="1"/>
  <c r="P152" i="1"/>
  <c r="L23" i="1"/>
  <c r="N191" i="1"/>
  <c r="R190" i="1"/>
  <c r="N150" i="1"/>
  <c r="P146" i="1"/>
  <c r="R114" i="1"/>
  <c r="P107" i="1"/>
  <c r="L121" i="1"/>
  <c r="M121" i="1" s="1"/>
  <c r="M191" i="1"/>
  <c r="O191" i="1" s="1"/>
  <c r="Q191" i="1" s="1"/>
  <c r="N190" i="1"/>
  <c r="M150" i="1"/>
  <c r="P134" i="1"/>
  <c r="L114" i="1"/>
  <c r="N107" i="1"/>
  <c r="R191" i="1"/>
  <c r="M190" i="1"/>
  <c r="R150" i="1"/>
  <c r="N134" i="1"/>
  <c r="R121" i="1"/>
  <c r="L93" i="1"/>
  <c r="M93" i="1" s="1"/>
  <c r="O93" i="1" s="1"/>
  <c r="Q93" i="1" s="1"/>
  <c r="P93" i="1"/>
  <c r="R93" i="1"/>
  <c r="N93" i="1"/>
  <c r="L15" i="1"/>
  <c r="M15" i="1" s="1"/>
  <c r="P15" i="1"/>
  <c r="N15" i="1"/>
  <c r="R15" i="1"/>
  <c r="L148" i="1"/>
  <c r="M148" i="1" s="1"/>
  <c r="P148" i="1"/>
  <c r="R148" i="1"/>
  <c r="N148" i="1"/>
  <c r="L115" i="1"/>
  <c r="P115" i="1"/>
  <c r="N115" i="1"/>
  <c r="R115" i="1"/>
  <c r="M115" i="1"/>
  <c r="N105" i="1"/>
  <c r="R105" i="1"/>
  <c r="L105" i="1"/>
  <c r="M105" i="1" s="1"/>
  <c r="O105" i="1" s="1"/>
  <c r="Q105" i="1" s="1"/>
  <c r="P105" i="1"/>
  <c r="L149" i="1"/>
  <c r="M149" i="1" s="1"/>
  <c r="P149" i="1"/>
  <c r="L189" i="1"/>
  <c r="M189" i="1" s="1"/>
  <c r="P189" i="1"/>
  <c r="N184" i="1"/>
  <c r="N149" i="1"/>
  <c r="L136" i="1"/>
  <c r="M136" i="1" s="1"/>
  <c r="P136" i="1"/>
  <c r="R136" i="1"/>
  <c r="N136" i="1"/>
  <c r="N82" i="1"/>
  <c r="R82" i="1"/>
  <c r="P82" i="1"/>
  <c r="L82" i="1"/>
  <c r="M82" i="1" s="1"/>
  <c r="O82" i="1" s="1"/>
  <c r="Q82" i="1" s="1"/>
  <c r="S82" i="1" s="1"/>
  <c r="L144" i="1"/>
  <c r="M144" i="1" s="1"/>
  <c r="P144" i="1"/>
  <c r="N185" i="1"/>
  <c r="R185" i="1"/>
  <c r="R189" i="1"/>
  <c r="M186" i="1"/>
  <c r="N186" i="1"/>
  <c r="R186" i="1"/>
  <c r="N40" i="1"/>
  <c r="R40" i="1"/>
  <c r="L40" i="1"/>
  <c r="M40" i="1" s="1"/>
  <c r="O40" i="1" s="1"/>
  <c r="P40" i="1"/>
  <c r="N10" i="1"/>
  <c r="R10" i="1"/>
  <c r="L10" i="1"/>
  <c r="M10" i="1" s="1"/>
  <c r="P10" i="1"/>
  <c r="K20" i="1"/>
  <c r="L47" i="1"/>
  <c r="M47" i="1" s="1"/>
  <c r="P47" i="1"/>
  <c r="R47" i="1"/>
  <c r="N47" i="1"/>
  <c r="L60" i="1"/>
  <c r="M60" i="1" s="1"/>
  <c r="P60" i="1"/>
  <c r="R60" i="1"/>
  <c r="N60" i="1"/>
  <c r="L70" i="1"/>
  <c r="M70" i="1" s="1"/>
  <c r="P70" i="1"/>
  <c r="R70" i="1"/>
  <c r="N70" i="1"/>
  <c r="L83" i="1"/>
  <c r="P83" i="1"/>
  <c r="M83" i="1"/>
  <c r="O83" i="1" s="1"/>
  <c r="R83" i="1"/>
  <c r="L141" i="1"/>
  <c r="M141" i="1" s="1"/>
  <c r="N141" i="1"/>
  <c r="R141" i="1"/>
  <c r="P141" i="1"/>
  <c r="N90" i="1"/>
  <c r="R90" i="1"/>
  <c r="L90" i="1"/>
  <c r="M90" i="1" s="1"/>
  <c r="O90" i="1" s="1"/>
  <c r="P90" i="1"/>
  <c r="R130" i="1"/>
  <c r="P130" i="1"/>
  <c r="L130" i="1"/>
  <c r="M130" i="1" s="1"/>
  <c r="N139" i="1"/>
  <c r="R139" i="1"/>
  <c r="P139" i="1"/>
  <c r="L139" i="1"/>
  <c r="M139" i="1" s="1"/>
  <c r="O139" i="1" s="1"/>
  <c r="L184" i="1"/>
  <c r="M184" i="1" s="1"/>
  <c r="O184" i="1" s="1"/>
  <c r="P184" i="1"/>
  <c r="N87" i="1"/>
  <c r="R87" i="1"/>
  <c r="L87" i="1"/>
  <c r="M87" i="1" s="1"/>
  <c r="P87" i="1"/>
  <c r="R99" i="1"/>
  <c r="N99" i="1"/>
  <c r="N118" i="1"/>
  <c r="R118" i="1"/>
  <c r="L118" i="1"/>
  <c r="M118" i="1" s="1"/>
  <c r="O118" i="1" s="1"/>
  <c r="P118" i="1"/>
  <c r="L124" i="1"/>
  <c r="P124" i="1"/>
  <c r="N124" i="1"/>
  <c r="R124" i="1"/>
  <c r="M124" i="1"/>
  <c r="L131" i="1"/>
  <c r="M131" i="1" s="1"/>
  <c r="P131" i="1"/>
  <c r="R131" i="1"/>
  <c r="N131" i="1"/>
  <c r="L185" i="1"/>
  <c r="M185" i="1" s="1"/>
  <c r="R144" i="1"/>
  <c r="L143" i="1"/>
  <c r="M143" i="1" s="1"/>
  <c r="O143" i="1" s="1"/>
  <c r="Q143" i="1" s="1"/>
  <c r="P143" i="1"/>
  <c r="N143" i="1"/>
  <c r="R143" i="1"/>
  <c r="N122" i="1"/>
  <c r="R122" i="1"/>
  <c r="L122" i="1"/>
  <c r="P122" i="1"/>
  <c r="M122" i="1"/>
  <c r="O122" i="1" s="1"/>
  <c r="Q122" i="1" s="1"/>
  <c r="S122" i="1" s="1"/>
  <c r="N73" i="1"/>
  <c r="R73" i="1"/>
  <c r="L73" i="1"/>
  <c r="M73" i="1" s="1"/>
  <c r="O73" i="1" s="1"/>
  <c r="P73" i="1"/>
  <c r="N14" i="1"/>
  <c r="R14" i="1"/>
  <c r="P14" i="1"/>
  <c r="L14" i="1"/>
  <c r="M14" i="1" s="1"/>
  <c r="O14" i="1" s="1"/>
  <c r="Q14" i="1" s="1"/>
  <c r="S14" i="1" s="1"/>
  <c r="K24" i="1"/>
  <c r="L24" i="1" s="1"/>
  <c r="K30" i="1"/>
  <c r="L30" i="1" s="1"/>
  <c r="L41" i="1"/>
  <c r="M41" i="1" s="1"/>
  <c r="O41" i="1" s="1"/>
  <c r="P41" i="1"/>
  <c r="N41" i="1"/>
  <c r="R41" i="1"/>
  <c r="L54" i="1"/>
  <c r="M54" i="1" s="1"/>
  <c r="O54" i="1" s="1"/>
  <c r="P54" i="1"/>
  <c r="N54" i="1"/>
  <c r="R54" i="1"/>
  <c r="K64" i="1"/>
  <c r="L64" i="1" s="1"/>
  <c r="P64" i="1"/>
  <c r="L75" i="1"/>
  <c r="M75" i="1" s="1"/>
  <c r="P75" i="1"/>
  <c r="N75" i="1"/>
  <c r="L88" i="1"/>
  <c r="M88" i="1" s="1"/>
  <c r="O88" i="1" s="1"/>
  <c r="Q88" i="1" s="1"/>
  <c r="S88" i="1" s="1"/>
  <c r="P88" i="1"/>
  <c r="N88" i="1"/>
  <c r="R88" i="1"/>
  <c r="L101" i="1"/>
  <c r="M101" i="1" s="1"/>
  <c r="O101" i="1" s="1"/>
  <c r="Q101" i="1" s="1"/>
  <c r="S101" i="1" s="1"/>
  <c r="P101" i="1"/>
  <c r="N101" i="1"/>
  <c r="L108" i="1"/>
  <c r="P108" i="1"/>
  <c r="N108" i="1"/>
  <c r="R108" i="1"/>
  <c r="M108" i="1"/>
  <c r="O108" i="1" s="1"/>
  <c r="M125" i="1"/>
  <c r="O125" i="1" s="1"/>
  <c r="Q125" i="1" s="1"/>
  <c r="S125" i="1" s="1"/>
  <c r="R125" i="1"/>
  <c r="N125" i="1"/>
  <c r="L125" i="1"/>
  <c r="M128" i="1"/>
  <c r="P128" i="1"/>
  <c r="L128" i="1"/>
  <c r="R128" i="1"/>
  <c r="M132" i="1"/>
  <c r="O132" i="1" s="1"/>
  <c r="Q132" i="1" s="1"/>
  <c r="S132" i="1" s="1"/>
  <c r="R132" i="1"/>
  <c r="N132" i="1"/>
  <c r="P132" i="1"/>
  <c r="N145" i="1"/>
  <c r="R145" i="1"/>
  <c r="L145" i="1"/>
  <c r="M145" i="1" s="1"/>
  <c r="P145" i="1"/>
  <c r="L154" i="1"/>
  <c r="M154" i="1" s="1"/>
  <c r="O154" i="1" s="1"/>
  <c r="Q154" i="1" s="1"/>
  <c r="P154" i="1"/>
  <c r="O190" i="1"/>
  <c r="P186" i="1"/>
  <c r="R184" i="1"/>
  <c r="L183" i="1"/>
  <c r="M183" i="1" s="1"/>
  <c r="O183" i="1" s="1"/>
  <c r="P183" i="1"/>
  <c r="R154" i="1"/>
  <c r="L153" i="1"/>
  <c r="M153" i="1" s="1"/>
  <c r="O153" i="1" s="1"/>
  <c r="P153" i="1"/>
  <c r="M146" i="1"/>
  <c r="N144" i="1"/>
  <c r="N128" i="1"/>
  <c r="L11" i="1"/>
  <c r="M11" i="1" s="1"/>
  <c r="P11" i="1"/>
  <c r="R11" i="1"/>
  <c r="N11" i="1"/>
  <c r="K21" i="1"/>
  <c r="K26" i="1"/>
  <c r="L26" i="1" s="1"/>
  <c r="K31" i="1"/>
  <c r="L31" i="1" s="1"/>
  <c r="L43" i="1"/>
  <c r="M43" i="1" s="1"/>
  <c r="P43" i="1"/>
  <c r="R43" i="1"/>
  <c r="N43" i="1"/>
  <c r="L48" i="1"/>
  <c r="P48" i="1"/>
  <c r="N48" i="1"/>
  <c r="R48" i="1"/>
  <c r="M48" i="1"/>
  <c r="L56" i="1"/>
  <c r="M56" i="1" s="1"/>
  <c r="O56" i="1" s="1"/>
  <c r="P56" i="1"/>
  <c r="R56" i="1"/>
  <c r="N56" i="1"/>
  <c r="L61" i="1"/>
  <c r="M61" i="1" s="1"/>
  <c r="O61" i="1" s="1"/>
  <c r="P61" i="1"/>
  <c r="N61" i="1"/>
  <c r="R61" i="1"/>
  <c r="N65" i="1"/>
  <c r="R65" i="1"/>
  <c r="K65" i="1"/>
  <c r="L65" i="1" s="1"/>
  <c r="L71" i="1"/>
  <c r="M71" i="1" s="1"/>
  <c r="O71" i="1" s="1"/>
  <c r="P71" i="1"/>
  <c r="N71" i="1"/>
  <c r="R71" i="1"/>
  <c r="L77" i="1"/>
  <c r="M77" i="1" s="1"/>
  <c r="O77" i="1" s="1"/>
  <c r="P77" i="1"/>
  <c r="R77" i="1"/>
  <c r="N77" i="1"/>
  <c r="L85" i="1"/>
  <c r="P85" i="1"/>
  <c r="N85" i="1"/>
  <c r="R85" i="1"/>
  <c r="M85" i="1"/>
  <c r="L89" i="1"/>
  <c r="P89" i="1"/>
  <c r="R89" i="1"/>
  <c r="N89" i="1"/>
  <c r="M89" i="1"/>
  <c r="N94" i="1"/>
  <c r="L94" i="1"/>
  <c r="M94" i="1" s="1"/>
  <c r="O94" i="1" s="1"/>
  <c r="P94" i="1"/>
  <c r="R94" i="1"/>
  <c r="L103" i="1"/>
  <c r="M103" i="1" s="1"/>
  <c r="P103" i="1"/>
  <c r="N103" i="1"/>
  <c r="P110" i="1"/>
  <c r="R110" i="1"/>
  <c r="L110" i="1"/>
  <c r="M110" i="1" s="1"/>
  <c r="O110" i="1" s="1"/>
  <c r="N126" i="1"/>
  <c r="R126" i="1"/>
  <c r="L126" i="1"/>
  <c r="P126" i="1"/>
  <c r="M126" i="1"/>
  <c r="N129" i="1"/>
  <c r="R129" i="1"/>
  <c r="M129" i="1"/>
  <c r="P129" i="1"/>
  <c r="K133" i="1"/>
  <c r="N133" i="1" s="1"/>
  <c r="N138" i="1"/>
  <c r="P138" i="1"/>
  <c r="L138" i="1"/>
  <c r="M138" i="1" s="1"/>
  <c r="N142" i="1"/>
  <c r="R142" i="1"/>
  <c r="N189" i="1"/>
  <c r="P185" i="1"/>
  <c r="R183" i="1"/>
  <c r="R153" i="1"/>
  <c r="M152" i="1"/>
  <c r="N152" i="1"/>
  <c r="R152" i="1"/>
  <c r="R149" i="1"/>
  <c r="L142" i="1"/>
  <c r="M142" i="1" s="1"/>
  <c r="L140" i="1"/>
  <c r="M140" i="1" s="1"/>
  <c r="R140" i="1"/>
  <c r="N140" i="1"/>
  <c r="N130" i="1"/>
  <c r="P99" i="1"/>
  <c r="L120" i="1"/>
  <c r="M120" i="1" s="1"/>
  <c r="P120" i="1"/>
  <c r="N120" i="1"/>
  <c r="R120" i="1"/>
  <c r="N112" i="1"/>
  <c r="R112" i="1"/>
  <c r="L112" i="1"/>
  <c r="M112" i="1" s="1"/>
  <c r="P112" i="1"/>
  <c r="L8" i="1"/>
  <c r="M8" i="1" s="1"/>
  <c r="P8" i="1"/>
  <c r="N8" i="1"/>
  <c r="R8" i="1"/>
  <c r="L12" i="1"/>
  <c r="M12" i="1" s="1"/>
  <c r="P12" i="1"/>
  <c r="R12" i="1"/>
  <c r="N12" i="1"/>
  <c r="K22" i="1"/>
  <c r="L22" i="1" s="1"/>
  <c r="K28" i="1"/>
  <c r="L28" i="1" s="1"/>
  <c r="L33" i="1"/>
  <c r="M33" i="1" s="1"/>
  <c r="O33" i="1" s="1"/>
  <c r="Q33" i="1" s="1"/>
  <c r="P33" i="1"/>
  <c r="R33" i="1"/>
  <c r="N33" i="1"/>
  <c r="N38" i="1"/>
  <c r="R38" i="1"/>
  <c r="P38" i="1"/>
  <c r="L38" i="1"/>
  <c r="M38" i="1" s="1"/>
  <c r="O38" i="1" s="1"/>
  <c r="Q38" i="1" s="1"/>
  <c r="S38" i="1" s="1"/>
  <c r="N44" i="1"/>
  <c r="R44" i="1"/>
  <c r="L44" i="1"/>
  <c r="M44" i="1" s="1"/>
  <c r="N49" i="1"/>
  <c r="R49" i="1"/>
  <c r="M49" i="1"/>
  <c r="P49" i="1"/>
  <c r="N57" i="1"/>
  <c r="R57" i="1"/>
  <c r="L57" i="1"/>
  <c r="M57" i="1" s="1"/>
  <c r="P57" i="1"/>
  <c r="L62" i="1"/>
  <c r="M62" i="1" s="1"/>
  <c r="O62" i="1" s="1"/>
  <c r="R62" i="1"/>
  <c r="N62" i="1"/>
  <c r="N66" i="1"/>
  <c r="R66" i="1"/>
  <c r="N72" i="1"/>
  <c r="R72" i="1"/>
  <c r="N80" i="1"/>
  <c r="R80" i="1"/>
  <c r="M80" i="1"/>
  <c r="O80" i="1" s="1"/>
  <c r="Q80" i="1" s="1"/>
  <c r="N86" i="1"/>
  <c r="R86" i="1"/>
  <c r="M86" i="1"/>
  <c r="O86" i="1" s="1"/>
  <c r="N95" i="1"/>
  <c r="R95" i="1"/>
  <c r="P95" i="1"/>
  <c r="M95" i="1"/>
  <c r="P190" i="1"/>
  <c r="R146" i="1"/>
  <c r="N146" i="1"/>
  <c r="R134" i="1"/>
  <c r="N123" i="1"/>
  <c r="N117" i="1"/>
  <c r="L72" i="1"/>
  <c r="M72" i="1" s="1"/>
  <c r="P66" i="1"/>
  <c r="P44" i="1"/>
  <c r="O119" i="1"/>
  <c r="Q119" i="1" s="1"/>
  <c r="S119" i="1" s="1"/>
  <c r="N68" i="1"/>
  <c r="R68" i="1"/>
  <c r="P68" i="1"/>
  <c r="L68" i="1"/>
  <c r="M68" i="1" s="1"/>
  <c r="N9" i="1"/>
  <c r="R9" i="1"/>
  <c r="L9" i="1"/>
  <c r="M9" i="1" s="1"/>
  <c r="P9" i="1"/>
  <c r="N13" i="1"/>
  <c r="R13" i="1"/>
  <c r="P13" i="1"/>
  <c r="L13" i="1"/>
  <c r="M13" i="1" s="1"/>
  <c r="N17" i="1"/>
  <c r="R17" i="1"/>
  <c r="L17" i="1"/>
  <c r="M17" i="1" s="1"/>
  <c r="N23" i="1"/>
  <c r="R23" i="1"/>
  <c r="M23" i="1"/>
  <c r="P23" i="1"/>
  <c r="L35" i="1"/>
  <c r="M35" i="1" s="1"/>
  <c r="P35" i="1"/>
  <c r="N35" i="1"/>
  <c r="R35" i="1"/>
  <c r="N45" i="1"/>
  <c r="R45" i="1"/>
  <c r="P45" i="1"/>
  <c r="L45" i="1"/>
  <c r="M45" i="1" s="1"/>
  <c r="N52" i="1"/>
  <c r="R52" i="1"/>
  <c r="L52" i="1"/>
  <c r="M52" i="1" s="1"/>
  <c r="P52" i="1"/>
  <c r="N58" i="1"/>
  <c r="R58" i="1"/>
  <c r="P58" i="1"/>
  <c r="L58" i="1"/>
  <c r="M58" i="1" s="1"/>
  <c r="L63" i="1"/>
  <c r="M63" i="1" s="1"/>
  <c r="P63" i="1"/>
  <c r="N63" i="1"/>
  <c r="R63" i="1"/>
  <c r="P91" i="1"/>
  <c r="N91" i="1"/>
  <c r="L99" i="1"/>
  <c r="M99" i="1" s="1"/>
  <c r="M107" i="1"/>
  <c r="O107" i="1" s="1"/>
  <c r="Q107" i="1" s="1"/>
  <c r="M114" i="1"/>
  <c r="M134" i="1"/>
  <c r="L123" i="1"/>
  <c r="M123" i="1" s="1"/>
  <c r="O123" i="1" s="1"/>
  <c r="Q123" i="1" s="1"/>
  <c r="S123" i="1" s="1"/>
  <c r="N121" i="1"/>
  <c r="L117" i="1"/>
  <c r="M117" i="1" s="1"/>
  <c r="O117" i="1" s="1"/>
  <c r="Q117" i="1" s="1"/>
  <c r="S117" i="1" s="1"/>
  <c r="N114" i="1"/>
  <c r="R107" i="1"/>
  <c r="L91" i="1"/>
  <c r="M91" i="1" s="1"/>
  <c r="P86" i="1"/>
  <c r="L66" i="1"/>
  <c r="M66" i="1" s="1"/>
  <c r="O66" i="1" s="1"/>
  <c r="P62" i="1"/>
  <c r="P17" i="1"/>
  <c r="P16" i="1"/>
  <c r="Y127" i="1"/>
  <c r="Y36" i="1"/>
  <c r="Y28" i="1"/>
  <c r="P133" i="1" l="1"/>
  <c r="P65" i="1"/>
  <c r="O11" i="1"/>
  <c r="Q11" i="1" s="1"/>
  <c r="O141" i="1"/>
  <c r="O47" i="1"/>
  <c r="Q47" i="1" s="1"/>
  <c r="S47" i="1" s="1"/>
  <c r="O121" i="1"/>
  <c r="Q121" i="1" s="1"/>
  <c r="S121" i="1" s="1"/>
  <c r="O12" i="1"/>
  <c r="O8" i="1"/>
  <c r="O120" i="1"/>
  <c r="O75" i="1"/>
  <c r="Q75" i="1" s="1"/>
  <c r="S75" i="1" s="1"/>
  <c r="Q184" i="1"/>
  <c r="O148" i="1"/>
  <c r="Q148" i="1" s="1"/>
  <c r="S148" i="1" s="1"/>
  <c r="O15" i="1"/>
  <c r="Q15" i="1" s="1"/>
  <c r="S15" i="1" s="1"/>
  <c r="S80" i="1"/>
  <c r="Q190" i="1"/>
  <c r="S190" i="1" s="1"/>
  <c r="V190" i="1" s="1"/>
  <c r="X190" i="1" s="1"/>
  <c r="Y190" i="1" s="1"/>
  <c r="S154" i="1"/>
  <c r="S143" i="1"/>
  <c r="Q83" i="1"/>
  <c r="O189" i="1"/>
  <c r="Q189" i="1" s="1"/>
  <c r="S189" i="1" s="1"/>
  <c r="V189" i="1" s="1"/>
  <c r="X189" i="1" s="1"/>
  <c r="Y189" i="1" s="1"/>
  <c r="Q16" i="1"/>
  <c r="S16" i="1" s="1"/>
  <c r="Q40" i="1"/>
  <c r="S40" i="1" s="1"/>
  <c r="Q66" i="1"/>
  <c r="S66" i="1" s="1"/>
  <c r="O134" i="1"/>
  <c r="Q134" i="1" s="1"/>
  <c r="S134" i="1" s="1"/>
  <c r="O58" i="1"/>
  <c r="Q58" i="1" s="1"/>
  <c r="S58" i="1" s="1"/>
  <c r="O72" i="1"/>
  <c r="Q72" i="1" s="1"/>
  <c r="S72" i="1" s="1"/>
  <c r="Q8" i="1"/>
  <c r="S8" i="1" s="1"/>
  <c r="O142" i="1"/>
  <c r="Q142" i="1" s="1"/>
  <c r="S142" i="1" s="1"/>
  <c r="Q77" i="1"/>
  <c r="S77" i="1" s="1"/>
  <c r="Q71" i="1"/>
  <c r="S71" i="1" s="1"/>
  <c r="Q61" i="1"/>
  <c r="S61" i="1" s="1"/>
  <c r="Q183" i="1"/>
  <c r="S183" i="1" s="1"/>
  <c r="Q54" i="1"/>
  <c r="S54" i="1" s="1"/>
  <c r="Q41" i="1"/>
  <c r="S41" i="1" s="1"/>
  <c r="Q73" i="1"/>
  <c r="S73" i="1" s="1"/>
  <c r="Q118" i="1"/>
  <c r="S118" i="1" s="1"/>
  <c r="O130" i="1"/>
  <c r="Q130" i="1" s="1"/>
  <c r="S130" i="1" s="1"/>
  <c r="Q90" i="1"/>
  <c r="S90" i="1" s="1"/>
  <c r="O45" i="1"/>
  <c r="Q45" i="1" s="1"/>
  <c r="S45" i="1" s="1"/>
  <c r="O17" i="1"/>
  <c r="Q17" i="1" s="1"/>
  <c r="S17" i="1" s="1"/>
  <c r="O9" i="1"/>
  <c r="Q9" i="1" s="1"/>
  <c r="S9" i="1" s="1"/>
  <c r="O68" i="1"/>
  <c r="Q68" i="1" s="1"/>
  <c r="S68" i="1" s="1"/>
  <c r="O44" i="1"/>
  <c r="Q44" i="1" s="1"/>
  <c r="S44" i="1" s="1"/>
  <c r="V44" i="1" s="1"/>
  <c r="X44" i="1" s="1"/>
  <c r="O140" i="1"/>
  <c r="Q140" i="1" s="1"/>
  <c r="S140" i="1" s="1"/>
  <c r="O138" i="1"/>
  <c r="Q138" i="1" s="1"/>
  <c r="S138" i="1" s="1"/>
  <c r="Q94" i="1"/>
  <c r="S94" i="1" s="1"/>
  <c r="Q153" i="1"/>
  <c r="S153" i="1" s="1"/>
  <c r="N64" i="1"/>
  <c r="O131" i="1"/>
  <c r="Q131" i="1" s="1"/>
  <c r="S131" i="1" s="1"/>
  <c r="O149" i="1"/>
  <c r="Q149" i="1" s="1"/>
  <c r="S149" i="1" s="1"/>
  <c r="O126" i="1"/>
  <c r="Q126" i="1" s="1"/>
  <c r="O99" i="1"/>
  <c r="Q99" i="1" s="1"/>
  <c r="S99" i="1" s="1"/>
  <c r="O13" i="1"/>
  <c r="Q62" i="1"/>
  <c r="S62" i="1" s="1"/>
  <c r="Q12" i="1"/>
  <c r="S12" i="1" s="1"/>
  <c r="O91" i="1"/>
  <c r="Q91" i="1" s="1"/>
  <c r="S91" i="1" s="1"/>
  <c r="O114" i="1"/>
  <c r="Q114" i="1" s="1"/>
  <c r="S114" i="1" s="1"/>
  <c r="O23" i="1"/>
  <c r="Q23" i="1" s="1"/>
  <c r="S23" i="1" s="1"/>
  <c r="O57" i="1"/>
  <c r="Q57" i="1" s="1"/>
  <c r="S57" i="1" s="1"/>
  <c r="O103" i="1"/>
  <c r="Q103" i="1" s="1"/>
  <c r="S103" i="1" s="1"/>
  <c r="O43" i="1"/>
  <c r="Q43" i="1" s="1"/>
  <c r="S43" i="1" s="1"/>
  <c r="R64" i="1"/>
  <c r="O124" i="1"/>
  <c r="O87" i="1"/>
  <c r="Q87" i="1" s="1"/>
  <c r="S87" i="1" s="1"/>
  <c r="S184" i="1"/>
  <c r="O70" i="1"/>
  <c r="Q70" i="1" s="1"/>
  <c r="S70" i="1" s="1"/>
  <c r="V70" i="1" s="1"/>
  <c r="X70" i="1" s="1"/>
  <c r="O60" i="1"/>
  <c r="Q60" i="1" s="1"/>
  <c r="S60" i="1" s="1"/>
  <c r="O136" i="1"/>
  <c r="Q136" i="1" s="1"/>
  <c r="S136" i="1" s="1"/>
  <c r="O150" i="1"/>
  <c r="Q150" i="1" s="1"/>
  <c r="S150" i="1" s="1"/>
  <c r="U150" i="1" s="1"/>
  <c r="S191" i="1"/>
  <c r="V191" i="1" s="1"/>
  <c r="X191" i="1" s="1"/>
  <c r="Y191" i="1" s="1"/>
  <c r="O128" i="1"/>
  <c r="Q128" i="1" s="1"/>
  <c r="S128" i="1" s="1"/>
  <c r="N20" i="1"/>
  <c r="R20" i="1"/>
  <c r="P20" i="1"/>
  <c r="O63" i="1"/>
  <c r="Q63" i="1" s="1"/>
  <c r="S63" i="1" s="1"/>
  <c r="Q86" i="1"/>
  <c r="S86" i="1" s="1"/>
  <c r="S33" i="1"/>
  <c r="P28" i="1"/>
  <c r="R28" i="1"/>
  <c r="M28" i="1"/>
  <c r="N28" i="1"/>
  <c r="S126" i="1"/>
  <c r="Q110" i="1"/>
  <c r="S110" i="1" s="1"/>
  <c r="V110" i="1" s="1"/>
  <c r="X110" i="1" s="1"/>
  <c r="P21" i="1"/>
  <c r="R21" i="1"/>
  <c r="N21" i="1"/>
  <c r="S11" i="1"/>
  <c r="Q108" i="1"/>
  <c r="S108" i="1" s="1"/>
  <c r="Q124" i="1"/>
  <c r="S124" i="1" s="1"/>
  <c r="S83" i="1"/>
  <c r="O10" i="1"/>
  <c r="Q10" i="1" s="1"/>
  <c r="S10" i="1" s="1"/>
  <c r="O186" i="1"/>
  <c r="Q186" i="1" s="1"/>
  <c r="S186" i="1" s="1"/>
  <c r="S105" i="1"/>
  <c r="S93" i="1"/>
  <c r="S107" i="1"/>
  <c r="O35" i="1"/>
  <c r="Q35" i="1" s="1"/>
  <c r="S35" i="1" s="1"/>
  <c r="O152" i="1"/>
  <c r="Q152" i="1" s="1"/>
  <c r="S152" i="1" s="1"/>
  <c r="L133" i="1"/>
  <c r="M133" i="1" s="1"/>
  <c r="O133" i="1" s="1"/>
  <c r="Q133" i="1" s="1"/>
  <c r="O129" i="1"/>
  <c r="Q129" i="1" s="1"/>
  <c r="S129" i="1" s="1"/>
  <c r="O89" i="1"/>
  <c r="Q89" i="1" s="1"/>
  <c r="S89" i="1" s="1"/>
  <c r="M31" i="1"/>
  <c r="N31" i="1"/>
  <c r="R31" i="1"/>
  <c r="P31" i="1"/>
  <c r="L21" i="1"/>
  <c r="M21" i="1" s="1"/>
  <c r="O146" i="1"/>
  <c r="Q146" i="1" s="1"/>
  <c r="S146" i="1" s="1"/>
  <c r="V146" i="1" s="1"/>
  <c r="O145" i="1"/>
  <c r="Q145" i="1" s="1"/>
  <c r="S145" i="1" s="1"/>
  <c r="M24" i="1"/>
  <c r="N24" i="1"/>
  <c r="R24" i="1"/>
  <c r="P24" i="1"/>
  <c r="O52" i="1"/>
  <c r="Q52" i="1" s="1"/>
  <c r="S52" i="1" s="1"/>
  <c r="O95" i="1"/>
  <c r="Q95" i="1" s="1"/>
  <c r="S95" i="1" s="1"/>
  <c r="Q120" i="1"/>
  <c r="S120" i="1" s="1"/>
  <c r="Q13" i="1"/>
  <c r="S13" i="1" s="1"/>
  <c r="O49" i="1"/>
  <c r="Q49" i="1" s="1"/>
  <c r="S49" i="1" s="1"/>
  <c r="V49" i="1" s="1"/>
  <c r="X49" i="1" s="1"/>
  <c r="P22" i="1"/>
  <c r="N22" i="1"/>
  <c r="R22" i="1"/>
  <c r="M22" i="1"/>
  <c r="O112" i="1"/>
  <c r="Q112" i="1" s="1"/>
  <c r="S112" i="1" s="1"/>
  <c r="R133" i="1"/>
  <c r="O85" i="1"/>
  <c r="Q85" i="1" s="1"/>
  <c r="S85" i="1" s="1"/>
  <c r="M65" i="1"/>
  <c r="O65" i="1" s="1"/>
  <c r="Q65" i="1" s="1"/>
  <c r="S65" i="1" s="1"/>
  <c r="Q56" i="1"/>
  <c r="S56" i="1" s="1"/>
  <c r="O48" i="1"/>
  <c r="Q48" i="1" s="1"/>
  <c r="S48" i="1" s="1"/>
  <c r="P26" i="1"/>
  <c r="M26" i="1"/>
  <c r="N26" i="1"/>
  <c r="R26" i="1"/>
  <c r="M64" i="1"/>
  <c r="O64" i="1" s="1"/>
  <c r="Q64" i="1" s="1"/>
  <c r="S64" i="1" s="1"/>
  <c r="N30" i="1"/>
  <c r="R30" i="1"/>
  <c r="M30" i="1"/>
  <c r="P30" i="1"/>
  <c r="O185" i="1"/>
  <c r="Q185" i="1" s="1"/>
  <c r="S185" i="1" s="1"/>
  <c r="Q139" i="1"/>
  <c r="S139" i="1" s="1"/>
  <c r="Q141" i="1"/>
  <c r="S141" i="1" s="1"/>
  <c r="L20" i="1"/>
  <c r="M20" i="1" s="1"/>
  <c r="O20" i="1" s="1"/>
  <c r="Q20" i="1" s="1"/>
  <c r="S20" i="1" s="1"/>
  <c r="O144" i="1"/>
  <c r="Q144" i="1" s="1"/>
  <c r="S144" i="1" s="1"/>
  <c r="O115" i="1"/>
  <c r="Q115" i="1" s="1"/>
  <c r="S115" i="1" s="1"/>
  <c r="U115" i="1"/>
  <c r="Y115" i="1" s="1"/>
  <c r="V150" i="1"/>
  <c r="X150" i="1" s="1"/>
  <c r="U132" i="1"/>
  <c r="V128" i="1"/>
  <c r="X128" i="1" s="1"/>
  <c r="U118" i="1"/>
  <c r="U123" i="1"/>
  <c r="U128" i="1"/>
  <c r="V118" i="1"/>
  <c r="X118" i="1" s="1"/>
  <c r="U146" i="1"/>
  <c r="Y146" i="1" s="1"/>
  <c r="U119" i="1"/>
  <c r="Y119" i="1" s="1"/>
  <c r="U110" i="1"/>
  <c r="U121" i="1"/>
  <c r="Y121" i="1" s="1"/>
  <c r="V57" i="1"/>
  <c r="X57" i="1" s="1"/>
  <c r="V16" i="1"/>
  <c r="X16" i="1" s="1"/>
  <c r="V62" i="1"/>
  <c r="X62" i="1" s="1"/>
  <c r="V66" i="1"/>
  <c r="X66" i="1" s="1"/>
  <c r="U16" i="1"/>
  <c r="U70" i="1" l="1"/>
  <c r="S133" i="1"/>
  <c r="O26" i="1"/>
  <c r="Q26" i="1" s="1"/>
  <c r="S26" i="1" s="1"/>
  <c r="O22" i="1"/>
  <c r="Q22" i="1" s="1"/>
  <c r="S22" i="1" s="1"/>
  <c r="O24" i="1"/>
  <c r="Q24" i="1" s="1"/>
  <c r="S24" i="1" s="1"/>
  <c r="O21" i="1"/>
  <c r="Q21" i="1" s="1"/>
  <c r="S21" i="1" s="1"/>
  <c r="O31" i="1"/>
  <c r="Q31" i="1" s="1"/>
  <c r="S31" i="1" s="1"/>
  <c r="O28" i="1"/>
  <c r="Q28" i="1" s="1"/>
  <c r="S28" i="1" s="1"/>
  <c r="O30" i="1"/>
  <c r="Q30" i="1" s="1"/>
  <c r="S30" i="1" s="1"/>
  <c r="V132" i="1"/>
  <c r="X132" i="1" s="1"/>
  <c r="Y132" i="1" s="1"/>
  <c r="U149" i="1"/>
  <c r="U57" i="1"/>
  <c r="Y57" i="1" s="1"/>
  <c r="V184" i="1"/>
  <c r="X184" i="1" s="1"/>
  <c r="U184" i="1"/>
  <c r="V186" i="1"/>
  <c r="X186" i="1" s="1"/>
  <c r="U186" i="1"/>
  <c r="V185" i="1"/>
  <c r="X185" i="1" s="1"/>
  <c r="U185" i="1"/>
  <c r="U183" i="1"/>
  <c r="V183" i="1"/>
  <c r="X183" i="1" s="1"/>
  <c r="U129" i="1"/>
  <c r="V144" i="1"/>
  <c r="X144" i="1" s="1"/>
  <c r="U148" i="1"/>
  <c r="V117" i="1"/>
  <c r="X117" i="1" s="1"/>
  <c r="V139" i="1"/>
  <c r="X139" i="1" s="1"/>
  <c r="U62" i="1"/>
  <c r="Y62" i="1" s="1"/>
  <c r="V107" i="1"/>
  <c r="X107" i="1" s="1"/>
  <c r="V123" i="1"/>
  <c r="X123" i="1" s="1"/>
  <c r="Y123" i="1" s="1"/>
  <c r="V138" i="1"/>
  <c r="X138" i="1" s="1"/>
  <c r="V133" i="1"/>
  <c r="X133" i="1" s="1"/>
  <c r="V143" i="1"/>
  <c r="X143" i="1" s="1"/>
  <c r="V80" i="1"/>
  <c r="X80" i="1" s="1"/>
  <c r="V93" i="1"/>
  <c r="X93" i="1" s="1"/>
  <c r="U99" i="1"/>
  <c r="V105" i="1"/>
  <c r="X105" i="1" s="1"/>
  <c r="Y110" i="1"/>
  <c r="U152" i="1"/>
  <c r="V114" i="1"/>
  <c r="X114" i="1" s="1"/>
  <c r="V149" i="1"/>
  <c r="X149" i="1" s="1"/>
  <c r="V99" i="1"/>
  <c r="X99" i="1" s="1"/>
  <c r="U114" i="1"/>
  <c r="V129" i="1"/>
  <c r="X129" i="1" s="1"/>
  <c r="V141" i="1"/>
  <c r="X141" i="1" s="1"/>
  <c r="U141" i="1"/>
  <c r="V145" i="1"/>
  <c r="X145" i="1" s="1"/>
  <c r="U145" i="1"/>
  <c r="U144" i="1"/>
  <c r="U139" i="1"/>
  <c r="U138" i="1"/>
  <c r="V154" i="1"/>
  <c r="X154" i="1" s="1"/>
  <c r="U154" i="1"/>
  <c r="V148" i="1"/>
  <c r="X148" i="1" s="1"/>
  <c r="U126" i="1"/>
  <c r="V126" i="1"/>
  <c r="X126" i="1" s="1"/>
  <c r="U153" i="1"/>
  <c r="V153" i="1"/>
  <c r="X153" i="1" s="1"/>
  <c r="Y118" i="1"/>
  <c r="U133" i="1"/>
  <c r="U112" i="1"/>
  <c r="V112" i="1"/>
  <c r="X112" i="1" s="1"/>
  <c r="U130" i="1"/>
  <c r="V130" i="1"/>
  <c r="X130" i="1" s="1"/>
  <c r="Y150" i="1"/>
  <c r="Y128" i="1"/>
  <c r="U56" i="1"/>
  <c r="Y70" i="1"/>
  <c r="V47" i="1"/>
  <c r="X47" i="1" s="1"/>
  <c r="V12" i="1"/>
  <c r="X12" i="1" s="1"/>
  <c r="V21" i="1"/>
  <c r="X21" i="1" s="1"/>
  <c r="U66" i="1"/>
  <c r="Y66" i="1" s="1"/>
  <c r="V38" i="1"/>
  <c r="X38" i="1" s="1"/>
  <c r="U38" i="1"/>
  <c r="V85" i="1"/>
  <c r="X85" i="1" s="1"/>
  <c r="V90" i="1"/>
  <c r="X90" i="1" s="1"/>
  <c r="U49" i="1"/>
  <c r="Y49" i="1" s="1"/>
  <c r="V14" i="1"/>
  <c r="X14" i="1" s="1"/>
  <c r="U24" i="1"/>
  <c r="U48" i="1"/>
  <c r="V89" i="1"/>
  <c r="X89" i="1" s="1"/>
  <c r="V75" i="1"/>
  <c r="X75" i="1" s="1"/>
  <c r="U95" i="1"/>
  <c r="U41" i="1"/>
  <c r="U11" i="1"/>
  <c r="V22" i="1"/>
  <c r="X22" i="1" s="1"/>
  <c r="V87" i="1"/>
  <c r="X87" i="1" s="1"/>
  <c r="V33" i="1"/>
  <c r="X33" i="1" s="1"/>
  <c r="U82" i="1"/>
  <c r="U44" i="1"/>
  <c r="Y44" i="1" s="1"/>
  <c r="V23" i="1"/>
  <c r="X23" i="1" s="1"/>
  <c r="V83" i="1"/>
  <c r="X83" i="1" s="1"/>
  <c r="V26" i="1"/>
  <c r="X26" i="1" s="1"/>
  <c r="Y26" i="1" s="1"/>
  <c r="V61" i="1"/>
  <c r="X61" i="1" s="1"/>
  <c r="U72" i="1"/>
  <c r="V40" i="1"/>
  <c r="X40" i="1" s="1"/>
  <c r="U60" i="1"/>
  <c r="V54" i="1"/>
  <c r="X54" i="1" s="1"/>
  <c r="V73" i="1"/>
  <c r="X73" i="1" s="1"/>
  <c r="U91" i="1"/>
  <c r="V86" i="1"/>
  <c r="X86" i="1" s="1"/>
  <c r="V9" i="1"/>
  <c r="X9" i="1" s="1"/>
  <c r="V8" i="1"/>
  <c r="X8" i="1" s="1"/>
  <c r="V94" i="1"/>
  <c r="X94" i="1" s="1"/>
  <c r="V64" i="1"/>
  <c r="X64" i="1" s="1"/>
  <c r="U20" i="1"/>
  <c r="V77" i="1"/>
  <c r="X77" i="1" s="1"/>
  <c r="V82" i="1"/>
  <c r="X82" i="1" s="1"/>
  <c r="U40" i="1"/>
  <c r="V60" i="1"/>
  <c r="X60" i="1" s="1"/>
  <c r="U86" i="1"/>
  <c r="V58" i="1"/>
  <c r="X58" i="1" s="1"/>
  <c r="U58" i="1"/>
  <c r="V63" i="1"/>
  <c r="X63" i="1" s="1"/>
  <c r="U63" i="1"/>
  <c r="V43" i="1"/>
  <c r="X43" i="1" s="1"/>
  <c r="U43" i="1"/>
  <c r="V45" i="1"/>
  <c r="X45" i="1" s="1"/>
  <c r="U45" i="1"/>
  <c r="U80" i="1"/>
  <c r="U35" i="1"/>
  <c r="V35" i="1"/>
  <c r="X35" i="1" s="1"/>
  <c r="V52" i="1"/>
  <c r="X52" i="1" s="1"/>
  <c r="U52" i="1"/>
  <c r="V68" i="1"/>
  <c r="X68" i="1" s="1"/>
  <c r="U68" i="1"/>
  <c r="Y16" i="1"/>
  <c r="Y184" i="1" l="1"/>
  <c r="Y186" i="1"/>
  <c r="U122" i="1"/>
  <c r="V122" i="1"/>
  <c r="X122" i="1" s="1"/>
  <c r="U117" i="1"/>
  <c r="Y117" i="1" s="1"/>
  <c r="Y141" i="1"/>
  <c r="U12" i="1"/>
  <c r="Y12" i="1" s="1"/>
  <c r="U93" i="1"/>
  <c r="Y93" i="1" s="1"/>
  <c r="Y185" i="1"/>
  <c r="Y183" i="1"/>
  <c r="V120" i="1"/>
  <c r="X120" i="1" s="1"/>
  <c r="U120" i="1"/>
  <c r="U101" i="1"/>
  <c r="V101" i="1"/>
  <c r="X101" i="1" s="1"/>
  <c r="V72" i="1"/>
  <c r="X72" i="1" s="1"/>
  <c r="Y72" i="1" s="1"/>
  <c r="U143" i="1"/>
  <c r="Y143" i="1" s="1"/>
  <c r="V152" i="1"/>
  <c r="X152" i="1" s="1"/>
  <c r="Y152" i="1" s="1"/>
  <c r="Y99" i="1"/>
  <c r="Y139" i="1"/>
  <c r="U54" i="1"/>
  <c r="Y54" i="1" s="1"/>
  <c r="U87" i="1"/>
  <c r="Y87" i="1" s="1"/>
  <c r="U15" i="1"/>
  <c r="V15" i="1"/>
  <c r="X15" i="1" s="1"/>
  <c r="Y15" i="1" s="1"/>
  <c r="V13" i="1"/>
  <c r="X13" i="1" s="1"/>
  <c r="U13" i="1"/>
  <c r="V11" i="1"/>
  <c r="X11" i="1" s="1"/>
  <c r="Y11" i="1" s="1"/>
  <c r="Y153" i="1"/>
  <c r="Y130" i="1"/>
  <c r="Y133" i="1"/>
  <c r="Y114" i="1"/>
  <c r="U105" i="1"/>
  <c r="Y105" i="1" s="1"/>
  <c r="U107" i="1"/>
  <c r="Y107" i="1" s="1"/>
  <c r="U83" i="1"/>
  <c r="Y83" i="1" s="1"/>
  <c r="U94" i="1"/>
  <c r="Y63" i="1"/>
  <c r="V24" i="1"/>
  <c r="X24" i="1" s="1"/>
  <c r="Y24" i="1" s="1"/>
  <c r="V95" i="1"/>
  <c r="X95" i="1" s="1"/>
  <c r="Y95" i="1" s="1"/>
  <c r="U90" i="1"/>
  <c r="Y90" i="1" s="1"/>
  <c r="Y112" i="1"/>
  <c r="Y148" i="1"/>
  <c r="Y145" i="1"/>
  <c r="Y129" i="1"/>
  <c r="Y149" i="1"/>
  <c r="U140" i="1"/>
  <c r="V140" i="1"/>
  <c r="X140" i="1" s="1"/>
  <c r="V124" i="1"/>
  <c r="X124" i="1" s="1"/>
  <c r="U124" i="1"/>
  <c r="Y124" i="1" s="1"/>
  <c r="V108" i="1"/>
  <c r="X108" i="1" s="1"/>
  <c r="U108" i="1"/>
  <c r="V131" i="1"/>
  <c r="X131" i="1" s="1"/>
  <c r="U131" i="1"/>
  <c r="Y131" i="1" s="1"/>
  <c r="V125" i="1"/>
  <c r="X125" i="1" s="1"/>
  <c r="U125" i="1"/>
  <c r="U103" i="1"/>
  <c r="V103" i="1"/>
  <c r="X103" i="1" s="1"/>
  <c r="U142" i="1"/>
  <c r="V142" i="1"/>
  <c r="X142" i="1" s="1"/>
  <c r="Y126" i="1"/>
  <c r="Y154" i="1"/>
  <c r="Y138" i="1"/>
  <c r="Y144" i="1"/>
  <c r="U61" i="1"/>
  <c r="Y61" i="1" s="1"/>
  <c r="U22" i="1"/>
  <c r="Y22" i="1" s="1"/>
  <c r="U75" i="1"/>
  <c r="Y75" i="1" s="1"/>
  <c r="U47" i="1"/>
  <c r="Y47" i="1" s="1"/>
  <c r="V91" i="1"/>
  <c r="X91" i="1" s="1"/>
  <c r="Y91" i="1" s="1"/>
  <c r="U85" i="1"/>
  <c r="Y85" i="1" s="1"/>
  <c r="U14" i="1"/>
  <c r="V41" i="1"/>
  <c r="X41" i="1" s="1"/>
  <c r="Y41" i="1" s="1"/>
  <c r="U77" i="1"/>
  <c r="Y77" i="1" s="1"/>
  <c r="U73" i="1"/>
  <c r="Y73" i="1" s="1"/>
  <c r="Y82" i="1"/>
  <c r="Y38" i="1"/>
  <c r="V56" i="1"/>
  <c r="X56" i="1" s="1"/>
  <c r="Y56" i="1" s="1"/>
  <c r="Y94" i="1"/>
  <c r="U64" i="1"/>
  <c r="Y64" i="1" s="1"/>
  <c r="U23" i="1"/>
  <c r="Y23" i="1" s="1"/>
  <c r="Y14" i="1"/>
  <c r="U9" i="1"/>
  <c r="Y9" i="1" s="1"/>
  <c r="Y60" i="1"/>
  <c r="U21" i="1"/>
  <c r="Y21" i="1" s="1"/>
  <c r="Y45" i="1"/>
  <c r="Y43" i="1"/>
  <c r="Y58" i="1"/>
  <c r="Y86" i="1"/>
  <c r="U8" i="1"/>
  <c r="Y8" i="1" s="1"/>
  <c r="U33" i="1"/>
  <c r="Y33" i="1" s="1"/>
  <c r="U89" i="1"/>
  <c r="Y89" i="1" s="1"/>
  <c r="V48" i="1"/>
  <c r="X48" i="1" s="1"/>
  <c r="Y48" i="1" s="1"/>
  <c r="V20" i="1"/>
  <c r="X20" i="1" s="1"/>
  <c r="Y20" i="1" s="1"/>
  <c r="Y68" i="1"/>
  <c r="Y52" i="1"/>
  <c r="V31" i="1"/>
  <c r="X31" i="1" s="1"/>
  <c r="U31" i="1"/>
  <c r="V30" i="1"/>
  <c r="X30" i="1" s="1"/>
  <c r="U30" i="1"/>
  <c r="Y35" i="1"/>
  <c r="U65" i="1"/>
  <c r="V65" i="1"/>
  <c r="X65" i="1" s="1"/>
  <c r="V71" i="1"/>
  <c r="X71" i="1" s="1"/>
  <c r="U71" i="1"/>
  <c r="Y80" i="1"/>
  <c r="V88" i="1"/>
  <c r="X88" i="1" s="1"/>
  <c r="U88" i="1"/>
  <c r="Y40" i="1"/>
  <c r="V17" i="1"/>
  <c r="X17" i="1" s="1"/>
  <c r="U17" i="1"/>
  <c r="V10" i="1"/>
  <c r="X10" i="1" s="1"/>
  <c r="U10" i="1"/>
  <c r="Y120" i="1" l="1"/>
  <c r="Y122" i="1"/>
  <c r="Y13" i="1"/>
  <c r="Y101" i="1"/>
  <c r="Y142" i="1"/>
  <c r="Y108" i="1"/>
  <c r="Y140" i="1"/>
  <c r="Y103" i="1"/>
  <c r="Y125" i="1"/>
  <c r="Y31" i="1"/>
  <c r="Y88" i="1"/>
  <c r="Y71" i="1"/>
  <c r="Y30" i="1"/>
  <c r="Y17" i="1"/>
  <c r="Y65" i="1"/>
  <c r="Y10" i="1"/>
</calcChain>
</file>

<file path=xl/sharedStrings.xml><?xml version="1.0" encoding="utf-8"?>
<sst xmlns="http://schemas.openxmlformats.org/spreadsheetml/2006/main" count="376" uniqueCount="275">
  <si>
    <t>MUNICIPIO DE : SAN JUANITO DE ESCOBEDO JALISCO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</si>
  <si>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</si>
  <si>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</si>
  <si>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</si>
  <si>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</si>
  <si>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</si>
  <si>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</si>
  <si>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</si>
  <si>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</si>
  <si>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</si>
  <si>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</si>
  <si>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</si>
  <si>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</si>
  <si>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</si>
  <si>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</si>
  <si>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</si>
  <si>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</si>
  <si>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</si>
  <si>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</si>
  <si>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</si>
  <si>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</si>
  <si>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</si>
  <si>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</si>
  <si>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</si>
  <si>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</si>
  <si>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</si>
  <si>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</si>
  <si>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</si>
  <si>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</si>
  <si>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</si>
  <si>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</si>
  <si>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</si>
  <si>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</si>
  <si>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</si>
  <si>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</si>
  <si>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</si>
  <si>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</si>
  <si>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</si>
  <si>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</si>
  <si>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</si>
  <si>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</si>
  <si>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</si>
  <si>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</si>
  <si>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</si>
  <si>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</si>
  <si>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</si>
  <si>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PERSONAL SUPERNUMERIARIO</t>
  </si>
  <si>
    <t>LA PLAZA</t>
  </si>
  <si>
    <t>PRESIDENCIA MUNICIPAL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</si>
  <si>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</si>
  <si>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</si>
  <si>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</si>
  <si>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</si>
  <si>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</si>
  <si>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</si>
  <si>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</si>
  <si>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</si>
  <si>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</si>
  <si>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</si>
  <si>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AUX. DE OBRAS PUBLICAS</t>
  </si>
  <si>
    <t>UNIDAD DE TRANSPARENCIA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</si>
  <si>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</si>
  <si>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</si>
  <si>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</si>
  <si>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</si>
  <si>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</si>
  <si>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</si>
  <si>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SECRETARIA</t>
  </si>
  <si>
    <t>DEPARTAMENTO DE CULTURA Y EDUCACION</t>
  </si>
  <si>
    <t>JUAREZ VALDERRAMA SONIA</t>
  </si>
  <si>
    <t>SERVICIOS PUBLICOS</t>
  </si>
  <si>
    <t>RIVERA LOPEZ ERASMO</t>
  </si>
  <si>
    <t>AUX. DE SERVICIOS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</si>
  <si>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</si>
  <si>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</si>
  <si>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</si>
  <si>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</si>
  <si>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</si>
  <si>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</si>
  <si>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</si>
  <si>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</si>
  <si>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</si>
  <si>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</si>
  <si>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</si>
  <si>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</si>
  <si>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</si>
  <si>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</si>
  <si>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</si>
  <si>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</si>
  <si>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</si>
  <si>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</si>
  <si>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CHOFER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</si>
  <si>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</si>
  <si>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</si>
  <si>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</si>
  <si>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</si>
  <si>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</si>
  <si>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</si>
  <si>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</si>
  <si>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</si>
  <si>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</si>
  <si>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</si>
  <si>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</si>
  <si>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</si>
  <si>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SUELDOS 1 AL 15 DE OCTUBRE DE 2016</t>
  </si>
  <si>
    <t>MORELOS # 32   RFC MSJ 850101UQ6</t>
  </si>
  <si>
    <t>SALA DE REGIDORES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</si>
  <si>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</si>
  <si>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</si>
  <si>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</si>
  <si>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</si>
  <si>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</si>
  <si>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</si>
  <si>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</si>
  <si>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</si>
  <si>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</si>
  <si>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</si>
  <si>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</si>
  <si>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</si>
  <si>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</si>
  <si>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</si>
  <si>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</si>
  <si>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</si>
  <si>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</si>
  <si>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</si>
  <si>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</si>
  <si>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</si>
  <si>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</si>
  <si>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</si>
  <si>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</si>
  <si>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</si>
  <si>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</si>
  <si>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</si>
  <si>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</si>
  <si>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</si>
  <si>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</si>
  <si>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</si>
  <si>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</si>
  <si>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</si>
  <si>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</si>
  <si>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</si>
  <si>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</si>
  <si>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</si>
  <si>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</si>
  <si>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</si>
  <si>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</si>
  <si>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</si>
  <si>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</si>
  <si>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</si>
  <si>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</si>
  <si>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</si>
  <si>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</si>
  <si>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</si>
  <si>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</si>
  <si>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</si>
  <si>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</si>
  <si>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</si>
  <si>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</si>
  <si>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</si>
  <si>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</si>
  <si>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</si>
  <si>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</si>
  <si>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</si>
  <si>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</si>
  <si>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</si>
  <si>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</si>
  <si>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</si>
  <si>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</si>
  <si>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</si>
  <si>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</si>
  <si>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</si>
  <si>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</si>
  <si>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</si>
  <si>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</si>
  <si>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</si>
  <si>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</si>
  <si>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</si>
  <si>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</si>
  <si>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</si>
  <si>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</si>
  <si>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</si>
  <si>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MORALES QUINTANAR JOSE LUIS</t>
  </si>
  <si>
    <t>INZUNSA SANDOVAL JORGE OSWALDO</t>
  </si>
  <si>
    <t>PONCE MONTES MIGUEL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</si>
  <si>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</si>
  <si>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</si>
  <si>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</si>
  <si>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</si>
  <si>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</si>
  <si>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</si>
  <si>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</si>
  <si>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</si>
  <si>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</si>
  <si>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</si>
  <si>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</si>
  <si>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</si>
  <si>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</si>
  <si>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</si>
  <si>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</si>
  <si>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</si>
  <si>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</si>
  <si>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</si>
  <si>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</si>
  <si>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</si>
  <si>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</si>
  <si>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</si>
  <si>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</si>
  <si>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</si>
  <si>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</si>
  <si>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</si>
  <si>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</si>
  <si>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</si>
  <si>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</si>
  <si>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</si>
  <si>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</si>
  <si>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</si>
  <si>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</si>
  <si>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</si>
  <si>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</si>
  <si>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</si>
  <si>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</si>
  <si>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</si>
  <si>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</si>
  <si>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</si>
  <si>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</si>
  <si>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</si>
  <si>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</si>
  <si>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</si>
  <si>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</si>
  <si>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</si>
  <si>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</si>
  <si>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</si>
  <si>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</si>
  <si>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</si>
  <si>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</si>
  <si>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</si>
  <si>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</si>
  <si>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</si>
  <si>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</si>
  <si>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</si>
  <si>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</si>
  <si>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</si>
  <si>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</si>
  <si>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</si>
  <si>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</si>
  <si>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</si>
  <si>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</si>
  <si>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</si>
  <si>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</si>
  <si>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</si>
  <si>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</si>
  <si>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</si>
  <si>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</si>
  <si>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</si>
  <si>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</si>
  <si>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</si>
  <si>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</si>
  <si>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</si>
  <si>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</si>
  <si>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</si>
  <si>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</si>
  <si>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</si>
  <si>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</si>
  <si>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</si>
  <si>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</si>
  <si>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</si>
  <si>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</si>
  <si>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</si>
  <si>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</si>
  <si>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</si>
  <si>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</si>
  <si>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</si>
  <si>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</si>
  <si>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</si>
  <si>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SEGURIDAD PUBLICA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</si>
</sst>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11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2" fillId="0" borderId="1" xfId="0" applyFont="1" applyBorder="1" applyProtection="1"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3" fillId="2" borderId="5" xfId="0" applyFont="1" applyFill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43" fontId="3" fillId="2" borderId="6" xfId="1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3" fillId="2" borderId="8" xfId="0" applyFont="1" applyFill="1" applyBorder="1" applyAlignment="1" applyProtection="1">
      <alignment horizontal="center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7" fillId="2" borderId="5" xfId="0" applyFont="1" applyFill="1" applyBorder="1" applyAlignment="1" applyProtection="1">
      <alignment horizontal="center" wrapText="1"/>
      <protection hidden="1"/>
    </xf>
    <xf numFmtId="0" fontId="3" fillId="2" borderId="5" xfId="0" applyFont="1" applyFill="1" applyBorder="1" applyAlignment="1" applyProtection="1">
      <alignment horizontal="center" wrapText="1"/>
      <protection hidden="1"/>
    </xf>
    <xf numFmtId="0" fontId="7" fillId="2" borderId="5" xfId="0" applyFont="1" applyFill="1" applyBorder="1" applyAlignment="1" applyProtection="1">
      <alignment horizontal="center" wrapText="1"/>
    </xf>
    <xf numFmtId="0" fontId="3" fillId="2" borderId="5" xfId="0" applyFont="1" applyFill="1" applyBorder="1" applyAlignment="1" applyProtection="1">
      <alignment horizontal="center" wrapText="1"/>
    </xf>
    <xf numFmtId="0" fontId="3" fillId="2" borderId="10" xfId="0" applyFont="1" applyFill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left" wrapText="1"/>
      <protection locked="0"/>
    </xf>
    <xf numFmtId="2" fontId="5" fillId="0" borderId="5" xfId="0" applyNumberFormat="1" applyFont="1" applyBorder="1" applyAlignment="1" applyProtection="1">
      <alignment horizontal="right" wrapText="1"/>
      <protection hidden="1"/>
    </xf>
    <xf numFmtId="164" fontId="5" fillId="0" borderId="5" xfId="1" applyNumberFormat="1" applyFont="1" applyFill="1" applyBorder="1" applyAlignment="1" applyProtection="1">
      <alignment horizontal="right" wrapText="1"/>
    </xf>
    <xf numFmtId="164" fontId="5" fillId="0" borderId="5" xfId="1" applyNumberFormat="1" applyFont="1" applyBorder="1" applyAlignment="1" applyProtection="1">
      <alignment horizontal="right" wrapText="1"/>
      <protection hidden="1"/>
    </xf>
    <xf numFmtId="1" fontId="5" fillId="0" borderId="5" xfId="1" applyNumberFormat="1" applyFont="1" applyBorder="1" applyAlignment="1" applyProtection="1">
      <alignment horizontal="right" wrapText="1"/>
      <protection hidden="1"/>
    </xf>
    <xf numFmtId="164" fontId="5" fillId="3" borderId="5" xfId="1" applyNumberFormat="1" applyFont="1" applyFill="1" applyBorder="1" applyAlignment="1" applyProtection="1">
      <alignment horizontal="right" wrapText="1"/>
      <protection hidden="1"/>
    </xf>
    <xf numFmtId="10" fontId="5" fillId="3" borderId="5" xfId="2" applyNumberFormat="1" applyFont="1" applyFill="1" applyBorder="1" applyAlignment="1" applyProtection="1">
      <alignment horizontal="right" wrapText="1"/>
      <protection hidden="1"/>
    </xf>
    <xf numFmtId="2" fontId="5" fillId="0" borderId="5" xfId="1" applyNumberFormat="1" applyFont="1" applyFill="1" applyBorder="1" applyAlignment="1" applyProtection="1">
      <alignment horizontal="right" wrapText="1"/>
      <protection hidden="1"/>
    </xf>
    <xf numFmtId="43" fontId="5" fillId="0" borderId="5" xfId="1" applyFont="1" applyBorder="1" applyAlignment="1" applyProtection="1">
      <alignment horizontal="right" wrapText="1"/>
      <protection hidden="1"/>
    </xf>
    <xf numFmtId="165" fontId="5" fillId="0" borderId="5" xfId="1" applyNumberFormat="1" applyFont="1" applyBorder="1" applyAlignment="1" applyProtection="1">
      <alignment horizontal="right" wrapText="1"/>
      <protection hidden="1"/>
    </xf>
    <xf numFmtId="0" fontId="4" fillId="0" borderId="5" xfId="0" applyFont="1" applyBorder="1" applyAlignment="1" applyProtection="1">
      <alignment horizontal="center" wrapText="1"/>
      <protection hidden="1"/>
    </xf>
    <xf numFmtId="0" fontId="4" fillId="0" borderId="5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164" fontId="5" fillId="0" borderId="5" xfId="1" applyNumberFormat="1" applyFont="1" applyFill="1" applyBorder="1" applyAlignment="1" applyProtection="1">
      <alignment horizontal="right" wrapText="1"/>
      <protection hidden="1"/>
    </xf>
    <xf numFmtId="0" fontId="6" fillId="0" borderId="5" xfId="0" applyFont="1" applyBorder="1" applyAlignment="1" applyProtection="1">
      <alignment horizontal="left" wrapText="1"/>
      <protection locked="0"/>
    </xf>
    <xf numFmtId="164" fontId="5" fillId="0" borderId="5" xfId="1" applyNumberFormat="1" applyFont="1" applyFill="1" applyBorder="1" applyAlignment="1" applyProtection="1">
      <alignment horizontal="right" wrapText="1"/>
      <protection locked="0"/>
    </xf>
    <xf numFmtId="164" fontId="5" fillId="0" borderId="5" xfId="1" applyNumberFormat="1" applyFont="1" applyBorder="1" applyAlignment="1" applyProtection="1">
      <alignment horizontal="right" wrapText="1"/>
      <protection locked="0"/>
    </xf>
    <xf numFmtId="164" fontId="5" fillId="4" borderId="5" xfId="1" applyNumberFormat="1" applyFont="1" applyFill="1" applyBorder="1" applyAlignment="1" applyProtection="1">
      <alignment horizontal="right" wrapText="1"/>
      <protection hidden="1"/>
    </xf>
    <xf numFmtId="0" fontId="9" fillId="0" borderId="5" xfId="0" applyFont="1" applyBorder="1" applyAlignment="1" applyProtection="1">
      <alignment horizontal="left" wrapText="1"/>
      <protection locked="0"/>
    </xf>
    <xf numFmtId="0" fontId="5" fillId="4" borderId="5" xfId="0" applyFont="1" applyFill="1" applyBorder="1" applyAlignment="1" applyProtection="1">
      <alignment horizontal="left" wrapText="1"/>
      <protection locked="0"/>
    </xf>
    <xf numFmtId="164" fontId="5" fillId="4" borderId="5" xfId="1" applyNumberFormat="1" applyFont="1" applyFill="1" applyBorder="1" applyAlignment="1" applyProtection="1">
      <alignment horizontal="right" wrapText="1"/>
    </xf>
    <xf numFmtId="164" fontId="5" fillId="0" borderId="5" xfId="1" applyNumberFormat="1" applyFont="1" applyBorder="1" applyAlignment="1" applyProtection="1">
      <alignment horizontal="right" wrapText="1"/>
    </xf>
    <xf numFmtId="1" fontId="5" fillId="0" borderId="5" xfId="1" applyNumberFormat="1" applyFont="1" applyBorder="1" applyAlignment="1" applyProtection="1">
      <alignment horizontal="right" wrapText="1"/>
    </xf>
    <xf numFmtId="164" fontId="5" fillId="3" borderId="5" xfId="1" applyNumberFormat="1" applyFont="1" applyFill="1" applyBorder="1" applyAlignment="1" applyProtection="1">
      <alignment horizontal="right" wrapText="1"/>
    </xf>
    <xf numFmtId="10" fontId="5" fillId="3" borderId="5" xfId="2" applyNumberFormat="1" applyFont="1" applyFill="1" applyBorder="1" applyAlignment="1" applyProtection="1">
      <alignment horizontal="right" wrapText="1"/>
    </xf>
    <xf numFmtId="2" fontId="5" fillId="0" borderId="5" xfId="1" applyNumberFormat="1" applyFont="1" applyFill="1" applyBorder="1" applyAlignment="1" applyProtection="1">
      <alignment horizontal="right" wrapText="1"/>
    </xf>
    <xf numFmtId="43" fontId="5" fillId="0" borderId="5" xfId="1" applyFont="1" applyBorder="1" applyAlignment="1" applyProtection="1">
      <alignment horizontal="right" wrapText="1"/>
    </xf>
    <xf numFmtId="165" fontId="5" fillId="0" borderId="5" xfId="1" applyNumberFormat="1" applyFont="1" applyBorder="1" applyAlignment="1" applyProtection="1">
      <alignment horizontal="right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6" fillId="0" borderId="5" xfId="0" applyFont="1" applyFill="1" applyBorder="1" applyAlignment="1" applyProtection="1">
      <alignment horizontal="left" wrapText="1"/>
      <protection locked="0"/>
    </xf>
    <xf numFmtId="0" fontId="8" fillId="0" borderId="5" xfId="0" applyFont="1" applyFill="1" applyBorder="1" applyAlignment="1" applyProtection="1">
      <alignment horizontal="center" wrapText="1"/>
      <protection locked="0"/>
    </xf>
    <xf numFmtId="0" fontId="4" fillId="3" borderId="5" xfId="0" applyFont="1" applyFill="1" applyBorder="1" applyAlignment="1" applyProtection="1">
      <alignment horizontal="center" wrapText="1"/>
      <protection hidden="1"/>
    </xf>
    <xf numFmtId="0" fontId="4" fillId="0" borderId="5" xfId="0" applyFont="1" applyFill="1" applyBorder="1" applyAlignment="1" applyProtection="1">
      <alignment horizontal="center" wrapText="1"/>
    </xf>
    <xf numFmtId="0" fontId="8" fillId="0" borderId="5" xfId="0" applyFont="1" applyFill="1" applyBorder="1" applyAlignment="1" applyProtection="1">
      <alignment horizontal="center" wrapText="1"/>
    </xf>
    <xf numFmtId="0" fontId="8" fillId="0" borderId="5" xfId="0" applyFont="1" applyBorder="1" applyAlignment="1" applyProtection="1">
      <alignment horizontal="left" wrapText="1"/>
      <protection locked="0"/>
    </xf>
    <xf numFmtId="2" fontId="5" fillId="0" borderId="5" xfId="0" applyNumberFormat="1" applyFont="1" applyBorder="1" applyAlignment="1" applyProtection="1">
      <alignment horizontal="right" wrapText="1"/>
      <protection locked="0"/>
    </xf>
    <xf numFmtId="0" fontId="9" fillId="0" borderId="5" xfId="0" applyFont="1" applyFill="1" applyBorder="1" applyAlignment="1" applyProtection="1">
      <alignment horizontal="left" wrapText="1"/>
      <protection locked="0"/>
    </xf>
    <xf numFmtId="165" fontId="5" fillId="0" borderId="5" xfId="1" applyNumberFormat="1" applyFont="1" applyFill="1" applyBorder="1" applyAlignment="1" applyProtection="1">
      <alignment horizontal="right" wrapText="1"/>
      <protection locked="0"/>
    </xf>
    <xf numFmtId="0" fontId="9" fillId="4" borderId="5" xfId="0" applyFont="1" applyFill="1" applyBorder="1" applyAlignment="1" applyProtection="1">
      <alignment horizontal="left" wrapText="1"/>
      <protection locked="0"/>
    </xf>
    <xf numFmtId="164" fontId="10" fillId="0" borderId="5" xfId="1" applyNumberFormat="1" applyFont="1" applyBorder="1" applyAlignment="1" applyProtection="1">
      <alignment horizontal="right" wrapText="1"/>
      <protection locked="0"/>
    </xf>
    <xf numFmtId="1" fontId="10" fillId="0" borderId="5" xfId="1" applyNumberFormat="1" applyFont="1" applyBorder="1" applyAlignment="1" applyProtection="1">
      <alignment horizontal="right" wrapText="1"/>
    </xf>
    <xf numFmtId="164" fontId="10" fillId="3" borderId="5" xfId="1" applyNumberFormat="1" applyFont="1" applyFill="1" applyBorder="1" applyAlignment="1" applyProtection="1">
      <alignment horizontal="right" wrapText="1"/>
    </xf>
    <xf numFmtId="10" fontId="10" fillId="3" borderId="5" xfId="2" applyNumberFormat="1" applyFont="1" applyFill="1" applyBorder="1" applyAlignment="1" applyProtection="1">
      <alignment horizontal="right" wrapText="1"/>
    </xf>
    <xf numFmtId="2" fontId="10" fillId="0" borderId="5" xfId="1" applyNumberFormat="1" applyFont="1" applyFill="1" applyBorder="1" applyAlignment="1" applyProtection="1">
      <alignment horizontal="right" wrapText="1"/>
    </xf>
    <xf numFmtId="164" fontId="10" fillId="0" borderId="5" xfId="1" applyNumberFormat="1" applyFont="1" applyBorder="1" applyAlignment="1" applyProtection="1">
      <alignment horizontal="right" wrapText="1"/>
    </xf>
    <xf numFmtId="43" fontId="10" fillId="0" borderId="5" xfId="1" applyFont="1" applyBorder="1" applyAlignment="1" applyProtection="1">
      <alignment horizontal="right" wrapText="1"/>
    </xf>
    <xf numFmtId="165" fontId="10" fillId="0" borderId="5" xfId="1" applyNumberFormat="1" applyFont="1" applyBorder="1" applyAlignment="1" applyProtection="1">
      <alignment horizontal="right" wrapText="1"/>
      <protection locked="0"/>
    </xf>
    <xf numFmtId="0" fontId="5" fillId="0" borderId="5" xfId="0" applyFont="1" applyFill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wrapText="1"/>
      <protection hidden="1"/>
    </xf>
    <xf numFmtId="0" fontId="5" fillId="0" borderId="11" xfId="0" applyFont="1" applyBorder="1" applyAlignment="1" applyProtection="1">
      <alignment horizontal="center" wrapText="1"/>
      <protection locked="0"/>
    </xf>
    <xf numFmtId="0" fontId="5" fillId="0" borderId="12" xfId="0" applyFont="1" applyBorder="1" applyAlignment="1" applyProtection="1">
      <alignment horizontal="left" wrapText="1"/>
      <protection locked="0"/>
    </xf>
    <xf numFmtId="0" fontId="5" fillId="0" borderId="12" xfId="0" applyFont="1" applyBorder="1" applyAlignment="1" applyProtection="1">
      <alignment horizontal="center" wrapText="1"/>
      <protection locked="0"/>
    </xf>
    <xf numFmtId="2" fontId="5" fillId="0" borderId="12" xfId="0" applyNumberFormat="1" applyFont="1" applyBorder="1" applyAlignment="1" applyProtection="1">
      <alignment horizontal="right" wrapText="1"/>
      <protection hidden="1"/>
    </xf>
    <xf numFmtId="164" fontId="5" fillId="0" borderId="12" xfId="1" applyNumberFormat="1" applyFont="1" applyFill="1" applyBorder="1" applyAlignment="1" applyProtection="1">
      <alignment horizontal="right" wrapText="1"/>
    </xf>
    <xf numFmtId="164" fontId="5" fillId="0" borderId="12" xfId="1" applyNumberFormat="1" applyFont="1" applyBorder="1" applyAlignment="1" applyProtection="1">
      <alignment horizontal="right" wrapText="1"/>
      <protection hidden="1"/>
    </xf>
    <xf numFmtId="1" fontId="5" fillId="0" borderId="12" xfId="1" applyNumberFormat="1" applyFont="1" applyBorder="1" applyAlignment="1" applyProtection="1">
      <alignment horizontal="right" wrapText="1"/>
      <protection hidden="1"/>
    </xf>
    <xf numFmtId="164" fontId="5" fillId="3" borderId="12" xfId="1" applyNumberFormat="1" applyFont="1" applyFill="1" applyBorder="1" applyAlignment="1" applyProtection="1">
      <alignment horizontal="right" wrapText="1"/>
      <protection hidden="1"/>
    </xf>
    <xf numFmtId="10" fontId="5" fillId="3" borderId="12" xfId="2" applyNumberFormat="1" applyFont="1" applyFill="1" applyBorder="1" applyAlignment="1" applyProtection="1">
      <alignment horizontal="right" wrapText="1"/>
      <protection hidden="1"/>
    </xf>
    <xf numFmtId="2" fontId="5" fillId="0" borderId="12" xfId="1" applyNumberFormat="1" applyFont="1" applyFill="1" applyBorder="1" applyAlignment="1" applyProtection="1">
      <alignment horizontal="right" wrapText="1"/>
      <protection hidden="1"/>
    </xf>
    <xf numFmtId="43" fontId="5" fillId="0" borderId="12" xfId="1" applyFont="1" applyBorder="1" applyAlignment="1" applyProtection="1">
      <alignment horizontal="right" wrapText="1"/>
      <protection hidden="1"/>
    </xf>
    <xf numFmtId="165" fontId="5" fillId="0" borderId="12" xfId="1" applyNumberFormat="1" applyFont="1" applyBorder="1" applyAlignment="1" applyProtection="1">
      <alignment horizontal="right" wrapText="1"/>
      <protection hidden="1"/>
    </xf>
    <xf numFmtId="164" fontId="6" fillId="0" borderId="13" xfId="1" applyNumberFormat="1" applyFont="1" applyBorder="1" applyAlignment="1" applyProtection="1">
      <alignment horizontal="right" wrapText="1"/>
      <protection hidden="1"/>
    </xf>
    <xf numFmtId="0" fontId="5" fillId="0" borderId="14" xfId="0" applyFont="1" applyBorder="1" applyAlignment="1" applyProtection="1">
      <alignment horizontal="center" wrapText="1"/>
      <protection locked="0"/>
    </xf>
    <xf numFmtId="164" fontId="6" fillId="0" borderId="15" xfId="1" applyNumberFormat="1" applyFont="1" applyBorder="1" applyAlignment="1" applyProtection="1">
      <alignment horizontal="right" wrapText="1"/>
      <protection hidden="1"/>
    </xf>
    <xf numFmtId="0" fontId="4" fillId="0" borderId="14" xfId="0" applyFont="1" applyBorder="1" applyAlignment="1" applyProtection="1">
      <alignment horizontal="center" wrapText="1"/>
      <protection hidden="1"/>
    </xf>
    <xf numFmtId="0" fontId="3" fillId="2" borderId="15" xfId="0" applyFont="1" applyFill="1" applyBorder="1" applyAlignment="1" applyProtection="1">
      <alignment horizontal="center" wrapText="1"/>
      <protection hidden="1"/>
    </xf>
    <xf numFmtId="0" fontId="4" fillId="0" borderId="14" xfId="0" applyFont="1" applyFill="1" applyBorder="1" applyAlignment="1" applyProtection="1">
      <alignment horizontal="center" wrapText="1"/>
      <protection hidden="1"/>
    </xf>
    <xf numFmtId="0" fontId="4" fillId="0" borderId="15" xfId="0" applyFont="1" applyFill="1" applyBorder="1" applyAlignment="1" applyProtection="1">
      <alignment horizontal="center" wrapText="1"/>
      <protection hidden="1"/>
    </xf>
    <xf numFmtId="164" fontId="6" fillId="0" borderId="15" xfId="1" applyNumberFormat="1" applyFont="1" applyBorder="1" applyAlignment="1" applyProtection="1">
      <alignment horizontal="right" wrapText="1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15" xfId="0" applyFont="1" applyBorder="1" applyAlignment="1" applyProtection="1">
      <alignment horizontal="center" wrapText="1"/>
      <protection hidden="1"/>
    </xf>
    <xf numFmtId="0" fontId="4" fillId="0" borderId="14" xfId="0" applyFont="1" applyBorder="1" applyAlignment="1" applyProtection="1">
      <alignment horizontal="center" wrapText="1"/>
    </xf>
    <xf numFmtId="0" fontId="3" fillId="2" borderId="15" xfId="0" applyFont="1" applyFill="1" applyBorder="1" applyAlignment="1" applyProtection="1">
      <alignment horizontal="center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5" fillId="0" borderId="14" xfId="0" applyFont="1" applyBorder="1" applyAlignment="1" applyProtection="1">
      <alignment horizontal="center" wrapText="1"/>
    </xf>
    <xf numFmtId="0" fontId="3" fillId="2" borderId="14" xfId="0" applyFont="1" applyFill="1" applyBorder="1" applyAlignment="1" applyProtection="1">
      <alignment horizontal="center" wrapText="1"/>
      <protection hidden="1"/>
    </xf>
    <xf numFmtId="0" fontId="0" fillId="0" borderId="14" xfId="0" applyBorder="1" applyAlignment="1" applyProtection="1">
      <alignment wrapText="1"/>
      <protection hidden="1"/>
    </xf>
    <xf numFmtId="0" fontId="0" fillId="0" borderId="15" xfId="0" applyBorder="1" applyAlignment="1" applyProtection="1">
      <alignment wrapText="1"/>
      <protection hidden="1"/>
    </xf>
    <xf numFmtId="0" fontId="4" fillId="2" borderId="14" xfId="0" applyFont="1" applyFill="1" applyBorder="1" applyAlignment="1" applyProtection="1">
      <alignment horizontal="center" wrapText="1"/>
    </xf>
    <xf numFmtId="0" fontId="5" fillId="0" borderId="16" xfId="0" applyFont="1" applyBorder="1" applyAlignment="1" applyProtection="1">
      <alignment horizontal="center" wrapText="1"/>
    </xf>
    <xf numFmtId="0" fontId="5" fillId="0" borderId="17" xfId="0" applyFont="1" applyBorder="1" applyAlignment="1" applyProtection="1">
      <alignment horizontal="left" wrapText="1"/>
      <protection locked="0"/>
    </xf>
    <xf numFmtId="0" fontId="5" fillId="0" borderId="17" xfId="0" applyFont="1" applyBorder="1" applyAlignment="1" applyProtection="1">
      <alignment horizontal="center" wrapText="1"/>
      <protection locked="0"/>
    </xf>
    <xf numFmtId="2" fontId="5" fillId="0" borderId="17" xfId="0" applyNumberFormat="1" applyFont="1" applyBorder="1" applyAlignment="1" applyProtection="1">
      <alignment horizontal="right" wrapText="1"/>
      <protection locked="0"/>
    </xf>
    <xf numFmtId="164" fontId="5" fillId="0" borderId="17" xfId="1" applyNumberFormat="1" applyFont="1" applyFill="1" applyBorder="1" applyAlignment="1" applyProtection="1">
      <alignment horizontal="right" wrapText="1"/>
    </xf>
    <xf numFmtId="164" fontId="5" fillId="0" borderId="17" xfId="1" applyNumberFormat="1" applyFont="1" applyBorder="1" applyAlignment="1" applyProtection="1">
      <alignment horizontal="right" wrapText="1"/>
      <protection locked="0"/>
    </xf>
    <xf numFmtId="164" fontId="5" fillId="0" borderId="17" xfId="1" applyNumberFormat="1" applyFont="1" applyBorder="1" applyAlignment="1" applyProtection="1">
      <alignment horizontal="right" wrapText="1"/>
    </xf>
    <xf numFmtId="1" fontId="5" fillId="0" borderId="17" xfId="1" applyNumberFormat="1" applyFont="1" applyBorder="1" applyAlignment="1" applyProtection="1">
      <alignment horizontal="right" wrapText="1"/>
    </xf>
    <xf numFmtId="164" fontId="5" fillId="3" borderId="17" xfId="1" applyNumberFormat="1" applyFont="1" applyFill="1" applyBorder="1" applyAlignment="1" applyProtection="1">
      <alignment horizontal="right" wrapText="1"/>
    </xf>
    <xf numFmtId="10" fontId="5" fillId="3" borderId="17" xfId="2" applyNumberFormat="1" applyFont="1" applyFill="1" applyBorder="1" applyAlignment="1" applyProtection="1">
      <alignment horizontal="right" wrapText="1"/>
    </xf>
    <xf numFmtId="2" fontId="5" fillId="0" borderId="17" xfId="1" applyNumberFormat="1" applyFont="1" applyFill="1" applyBorder="1" applyAlignment="1" applyProtection="1">
      <alignment horizontal="right" wrapText="1"/>
    </xf>
    <xf numFmtId="43" fontId="5" fillId="0" borderId="17" xfId="1" applyFont="1" applyBorder="1" applyAlignment="1" applyProtection="1">
      <alignment horizontal="right" wrapText="1"/>
    </xf>
    <xf numFmtId="165" fontId="5" fillId="0" borderId="17" xfId="1" applyNumberFormat="1" applyFont="1" applyBorder="1" applyAlignment="1" applyProtection="1">
      <alignment horizontal="right" wrapText="1"/>
      <protection locked="0"/>
    </xf>
    <xf numFmtId="164" fontId="6" fillId="0" borderId="18" xfId="1" applyNumberFormat="1" applyFont="1" applyBorder="1" applyAlignment="1" applyProtection="1">
      <alignment horizontal="right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MINAS/1RA%20QNA%20DE%20OCTUBRE%20D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"/>
  <sheetViews>
    <sheetView tabSelected="1" topLeftCell="A25" workbookViewId="0">
      <selection activeCell="Z9" sqref="Z9"/>
    </sheetView>
  </sheetViews>
  <sheetFormatPr baseColWidth="10" defaultRowHeight="15" x14ac:dyDescent="0.25"/>
  <cols>
    <col min="1" max="1" width="5.5703125" customWidth="1"/>
    <col min="2" max="2" width="36.42578125" customWidth="1"/>
    <col min="3" max="3" width="32.140625" customWidth="1"/>
    <col min="4" max="4" width="9.140625" hidden="1" customWidth="1"/>
    <col min="5" max="5" width="9.7109375" hidden="1" customWidth="1"/>
    <col min="6" max="6" width="10.42578125" customWidth="1"/>
    <col min="9" max="20" width="0" hidden="1" customWidth="1"/>
    <col min="22" max="22" width="10.7109375" customWidth="1"/>
    <col min="23" max="23" width="9.5703125" customWidth="1"/>
    <col min="24" max="24" width="9.85546875" customWidth="1"/>
    <col min="25" max="25" width="9.5703125" customWidth="1"/>
  </cols>
  <sheetData>
    <row r="1" spans="1:25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.75" x14ac:dyDescent="0.25">
      <c r="A2" s="2" t="s">
        <v>104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x14ac:dyDescent="0.25">
      <c r="A3" s="2" t="s">
        <v>105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3"/>
      <c r="B4" s="3"/>
      <c r="C4" s="3"/>
      <c r="D4" s="4" t="s">
        <v>1</v>
      </c>
      <c r="E4" s="4" t="s">
        <v>2</v>
      </c>
      <c r="F4" s="5" t="s">
        <v>3</v>
      </c>
      <c r="G4" s="6"/>
      <c r="H4" s="7"/>
      <c r="I4" s="8"/>
      <c r="J4" s="4" t="s">
        <v>4</v>
      </c>
      <c r="K4" s="9"/>
      <c r="L4" s="5" t="s">
        <v>5</v>
      </c>
      <c r="M4" s="6"/>
      <c r="N4" s="6"/>
      <c r="O4" s="6"/>
      <c r="P4" s="6"/>
      <c r="Q4" s="7"/>
      <c r="R4" s="4" t="s">
        <v>6</v>
      </c>
      <c r="S4" s="4" t="s">
        <v>7</v>
      </c>
      <c r="T4" s="8"/>
      <c r="U4" s="4" t="s">
        <v>8</v>
      </c>
      <c r="V4" s="5" t="s">
        <v>9</v>
      </c>
      <c r="W4" s="6"/>
      <c r="X4" s="7"/>
      <c r="Y4" s="4" t="s">
        <v>10</v>
      </c>
    </row>
    <row r="5" spans="1:25" x14ac:dyDescent="0.25">
      <c r="A5" s="10" t="s">
        <v>11</v>
      </c>
      <c r="B5" s="10"/>
      <c r="C5" s="10"/>
      <c r="D5" s="11" t="s">
        <v>12</v>
      </c>
      <c r="E5" s="12" t="s">
        <v>13</v>
      </c>
      <c r="F5" s="4" t="s">
        <v>2</v>
      </c>
      <c r="G5" s="4" t="s">
        <v>14</v>
      </c>
      <c r="H5" s="4" t="s">
        <v>15</v>
      </c>
      <c r="I5" s="8"/>
      <c r="J5" s="12" t="s">
        <v>16</v>
      </c>
      <c r="K5" s="9" t="s">
        <v>17</v>
      </c>
      <c r="L5" s="9" t="s">
        <v>18</v>
      </c>
      <c r="M5" s="9" t="s">
        <v>19</v>
      </c>
      <c r="N5" s="9" t="s">
        <v>20</v>
      </c>
      <c r="O5" s="9" t="s">
        <v>21</v>
      </c>
      <c r="P5" s="9" t="s">
        <v>22</v>
      </c>
      <c r="Q5" s="9" t="s">
        <v>7</v>
      </c>
      <c r="R5" s="12" t="s">
        <v>23</v>
      </c>
      <c r="S5" s="12" t="s">
        <v>24</v>
      </c>
      <c r="T5" s="8"/>
      <c r="U5" s="12" t="s">
        <v>25</v>
      </c>
      <c r="V5" s="13" t="s">
        <v>26</v>
      </c>
      <c r="W5" s="4" t="s">
        <v>27</v>
      </c>
      <c r="X5" s="4" t="s">
        <v>28</v>
      </c>
      <c r="Y5" s="12" t="s">
        <v>29</v>
      </c>
    </row>
    <row r="6" spans="1:25" x14ac:dyDescent="0.25">
      <c r="A6" s="14"/>
      <c r="B6" s="15"/>
      <c r="C6" s="15" t="s">
        <v>30</v>
      </c>
      <c r="D6" s="12"/>
      <c r="E6" s="12"/>
      <c r="F6" s="12" t="s">
        <v>31</v>
      </c>
      <c r="G6" s="12" t="s">
        <v>32</v>
      </c>
      <c r="H6" s="12" t="s">
        <v>33</v>
      </c>
      <c r="I6" s="8"/>
      <c r="J6" s="12" t="s">
        <v>34</v>
      </c>
      <c r="K6" s="4" t="s">
        <v>35</v>
      </c>
      <c r="L6" s="4" t="s">
        <v>36</v>
      </c>
      <c r="M6" s="4" t="s">
        <v>37</v>
      </c>
      <c r="N6" s="4" t="s">
        <v>37</v>
      </c>
      <c r="O6" s="4" t="s">
        <v>38</v>
      </c>
      <c r="P6" s="4" t="s">
        <v>39</v>
      </c>
      <c r="Q6" s="4" t="s">
        <v>40</v>
      </c>
      <c r="R6" s="12" t="s">
        <v>41</v>
      </c>
      <c r="S6" s="16" t="s">
        <v>42</v>
      </c>
      <c r="T6" s="17"/>
      <c r="U6" s="12" t="s">
        <v>43</v>
      </c>
      <c r="V6" s="18"/>
      <c r="W6" s="12"/>
      <c r="X6" s="12" t="s">
        <v>44</v>
      </c>
      <c r="Y6" s="12" t="s">
        <v>45</v>
      </c>
    </row>
    <row r="7" spans="1:25" ht="15.75" thickBot="1" x14ac:dyDescent="0.3">
      <c r="A7" s="12"/>
      <c r="B7" s="15" t="s">
        <v>106</v>
      </c>
      <c r="C7" s="15" t="s">
        <v>47</v>
      </c>
      <c r="D7" s="4"/>
      <c r="E7" s="4"/>
      <c r="F7" s="4"/>
      <c r="G7" s="4"/>
      <c r="H7" s="4"/>
      <c r="I7" s="24"/>
      <c r="J7" s="4"/>
      <c r="K7" s="4"/>
      <c r="L7" s="4"/>
      <c r="M7" s="4"/>
      <c r="N7" s="4"/>
      <c r="O7" s="4"/>
      <c r="P7" s="4"/>
      <c r="Q7" s="4"/>
      <c r="R7" s="4"/>
      <c r="S7" s="24"/>
      <c r="T7" s="24"/>
      <c r="U7" s="4"/>
      <c r="V7" s="4"/>
      <c r="W7" s="4"/>
      <c r="X7" s="4"/>
      <c r="Y7" s="4"/>
    </row>
    <row r="8" spans="1:25" s="19" customFormat="1" x14ac:dyDescent="0.25">
      <c r="A8" s="75">
        <v>1</v>
      </c>
      <c r="B8" s="76" t="s">
        <v>107</v>
      </c>
      <c r="C8" s="76" t="s">
        <v>108</v>
      </c>
      <c r="D8" s="77">
        <v>15</v>
      </c>
      <c r="E8" s="78">
        <f>TRUNC(F8/15,2)</f>
        <v>603.19000000000005</v>
      </c>
      <c r="F8" s="79">
        <v>9047.85</v>
      </c>
      <c r="G8" s="80">
        <v>0</v>
      </c>
      <c r="H8" s="80">
        <f>TRUNC(SUM(D8*E8)+G8,2)</f>
        <v>9047.85</v>
      </c>
      <c r="I8" s="81"/>
      <c r="J8" s="82">
        <v>0</v>
      </c>
      <c r="K8" s="82">
        <f>H8</f>
        <v>9047.85</v>
      </c>
      <c r="L8" s="82">
        <f>VLOOKUP(K8,Tarifa1,1)</f>
        <v>5081.41</v>
      </c>
      <c r="M8" s="82">
        <f>K8-L8</f>
        <v>3966.4400000000005</v>
      </c>
      <c r="N8" s="83">
        <f>VLOOKUP(K8,Tarifa1,3)</f>
        <v>0.21360000000000001</v>
      </c>
      <c r="O8" s="82">
        <f>M8*N8</f>
        <v>847.23158400000011</v>
      </c>
      <c r="P8" s="82">
        <f>VLOOKUP(K8,Tarifa1,2)</f>
        <v>538.20000000000005</v>
      </c>
      <c r="Q8" s="82">
        <f>O8+P8</f>
        <v>1385.4315840000002</v>
      </c>
      <c r="R8" s="82">
        <f>VLOOKUP(K8,Credito1,2)</f>
        <v>0</v>
      </c>
      <c r="S8" s="82">
        <f>Q8-R8</f>
        <v>1385.4315840000002</v>
      </c>
      <c r="T8" s="84"/>
      <c r="U8" s="80">
        <f>-IF(S8&gt;0,0,S8)</f>
        <v>0</v>
      </c>
      <c r="V8" s="85">
        <f>IF(S8&lt;0,0,S8)</f>
        <v>1385.4315840000002</v>
      </c>
      <c r="W8" s="86">
        <v>0</v>
      </c>
      <c r="X8" s="80">
        <f>SUM(V8:W8)</f>
        <v>1385.4315840000002</v>
      </c>
      <c r="Y8" s="87">
        <f>H8+U8-X8</f>
        <v>7662.4184160000004</v>
      </c>
    </row>
    <row r="9" spans="1:25" s="19" customFormat="1" ht="26.25" x14ac:dyDescent="0.25">
      <c r="A9" s="88">
        <v>2</v>
      </c>
      <c r="B9" s="26" t="s">
        <v>109</v>
      </c>
      <c r="C9" s="26" t="s">
        <v>108</v>
      </c>
      <c r="D9" s="25">
        <v>15</v>
      </c>
      <c r="E9" s="27">
        <f t="shared" ref="E9:E16" si="0">TRUNC(F9/15,2)</f>
        <v>603.19000000000005</v>
      </c>
      <c r="F9" s="28">
        <v>9047.85</v>
      </c>
      <c r="G9" s="29">
        <v>0</v>
      </c>
      <c r="H9" s="29">
        <f t="shared" ref="H9:H17" si="1">TRUNC(SUM(D9*E9)+G9,2)</f>
        <v>9047.85</v>
      </c>
      <c r="I9" s="30"/>
      <c r="J9" s="31">
        <v>0</v>
      </c>
      <c r="K9" s="31">
        <f t="shared" ref="K9:K17" si="2">H9</f>
        <v>9047.85</v>
      </c>
      <c r="L9" s="31">
        <f t="shared" ref="L9:L17" si="3">VLOOKUP(K9,Tarifa1,1)</f>
        <v>5081.41</v>
      </c>
      <c r="M9" s="31">
        <f t="shared" ref="M9:M17" si="4">K9-L9</f>
        <v>3966.4400000000005</v>
      </c>
      <c r="N9" s="32">
        <f t="shared" ref="N9:N17" si="5">VLOOKUP(K9,Tarifa1,3)</f>
        <v>0.21360000000000001</v>
      </c>
      <c r="O9" s="31">
        <f t="shared" ref="O9:O17" si="6">M9*N9</f>
        <v>847.23158400000011</v>
      </c>
      <c r="P9" s="31">
        <f t="shared" ref="P9:P17" si="7">VLOOKUP(K9,Tarifa1,2)</f>
        <v>538.20000000000005</v>
      </c>
      <c r="Q9" s="31">
        <f t="shared" ref="Q9:Q17" si="8">O9+P9</f>
        <v>1385.4315840000002</v>
      </c>
      <c r="R9" s="31">
        <f t="shared" ref="R9:R17" si="9">VLOOKUP(K9,Credito1,2)</f>
        <v>0</v>
      </c>
      <c r="S9" s="31">
        <f t="shared" ref="S9:S17" si="10">Q9-R9</f>
        <v>1385.4315840000002</v>
      </c>
      <c r="T9" s="33"/>
      <c r="U9" s="29">
        <f>-IF(S9&gt;0,0,S9)</f>
        <v>0</v>
      </c>
      <c r="V9" s="34">
        <f>IF(S9&lt;0,0,S9)</f>
        <v>1385.4315840000002</v>
      </c>
      <c r="W9" s="35">
        <v>0</v>
      </c>
      <c r="X9" s="29">
        <f t="shared" ref="X9:X17" si="11">SUM(V9:W9)</f>
        <v>1385.4315840000002</v>
      </c>
      <c r="Y9" s="89">
        <f>H9+U9-X9</f>
        <v>7662.4184160000004</v>
      </c>
    </row>
    <row r="10" spans="1:25" s="19" customFormat="1" x14ac:dyDescent="0.25">
      <c r="A10" s="88">
        <v>3</v>
      </c>
      <c r="B10" s="26" t="s">
        <v>110</v>
      </c>
      <c r="C10" s="26" t="s">
        <v>108</v>
      </c>
      <c r="D10" s="25">
        <v>15</v>
      </c>
      <c r="E10" s="27">
        <f t="shared" si="0"/>
        <v>603.19000000000005</v>
      </c>
      <c r="F10" s="28">
        <v>9047.85</v>
      </c>
      <c r="G10" s="29">
        <v>0</v>
      </c>
      <c r="H10" s="29">
        <f t="shared" si="1"/>
        <v>9047.85</v>
      </c>
      <c r="I10" s="30"/>
      <c r="J10" s="31">
        <v>0</v>
      </c>
      <c r="K10" s="31">
        <f t="shared" si="2"/>
        <v>9047.85</v>
      </c>
      <c r="L10" s="31">
        <f t="shared" si="3"/>
        <v>5081.41</v>
      </c>
      <c r="M10" s="31">
        <f t="shared" si="4"/>
        <v>3966.4400000000005</v>
      </c>
      <c r="N10" s="32">
        <f t="shared" si="5"/>
        <v>0.21360000000000001</v>
      </c>
      <c r="O10" s="31">
        <f t="shared" si="6"/>
        <v>847.23158400000011</v>
      </c>
      <c r="P10" s="31">
        <f t="shared" si="7"/>
        <v>538.20000000000005</v>
      </c>
      <c r="Q10" s="31">
        <f t="shared" si="8"/>
        <v>1385.4315840000002</v>
      </c>
      <c r="R10" s="31">
        <f t="shared" si="9"/>
        <v>0</v>
      </c>
      <c r="S10" s="31">
        <f t="shared" si="10"/>
        <v>1385.4315840000002</v>
      </c>
      <c r="T10" s="33"/>
      <c r="U10" s="29">
        <f>-IF(S10&gt;0,0,S10)</f>
        <v>0</v>
      </c>
      <c r="V10" s="34">
        <f>IF(S10&lt;0,0,S10)</f>
        <v>1385.4315840000002</v>
      </c>
      <c r="W10" s="35">
        <v>0</v>
      </c>
      <c r="X10" s="29">
        <f t="shared" si="11"/>
        <v>1385.4315840000002</v>
      </c>
      <c r="Y10" s="89">
        <f>H10+U10-X10</f>
        <v>7662.4184160000004</v>
      </c>
    </row>
    <row r="11" spans="1:25" s="19" customFormat="1" x14ac:dyDescent="0.25">
      <c r="A11" s="88">
        <v>4</v>
      </c>
      <c r="B11" s="26" t="s">
        <v>111</v>
      </c>
      <c r="C11" s="26" t="s">
        <v>108</v>
      </c>
      <c r="D11" s="25">
        <v>15</v>
      </c>
      <c r="E11" s="27">
        <f t="shared" si="0"/>
        <v>603.19000000000005</v>
      </c>
      <c r="F11" s="28">
        <v>9047.85</v>
      </c>
      <c r="G11" s="29">
        <v>0</v>
      </c>
      <c r="H11" s="29">
        <f t="shared" si="1"/>
        <v>9047.85</v>
      </c>
      <c r="I11" s="30"/>
      <c r="J11" s="31">
        <v>0</v>
      </c>
      <c r="K11" s="31">
        <f t="shared" si="2"/>
        <v>9047.85</v>
      </c>
      <c r="L11" s="31">
        <f t="shared" si="3"/>
        <v>5081.41</v>
      </c>
      <c r="M11" s="31">
        <f t="shared" si="4"/>
        <v>3966.4400000000005</v>
      </c>
      <c r="N11" s="32">
        <f t="shared" si="5"/>
        <v>0.21360000000000001</v>
      </c>
      <c r="O11" s="31">
        <f t="shared" si="6"/>
        <v>847.23158400000011</v>
      </c>
      <c r="P11" s="31">
        <f t="shared" si="7"/>
        <v>538.20000000000005</v>
      </c>
      <c r="Q11" s="31">
        <f t="shared" si="8"/>
        <v>1385.4315840000002</v>
      </c>
      <c r="R11" s="31">
        <f t="shared" si="9"/>
        <v>0</v>
      </c>
      <c r="S11" s="31">
        <f t="shared" si="10"/>
        <v>1385.4315840000002</v>
      </c>
      <c r="T11" s="33"/>
      <c r="U11" s="29">
        <f>-IF(S11&gt;0,0,S11)</f>
        <v>0</v>
      </c>
      <c r="V11" s="34">
        <f>IF(S11&lt;0,0,S11)</f>
        <v>1385.4315840000002</v>
      </c>
      <c r="W11" s="35">
        <v>0</v>
      </c>
      <c r="X11" s="29">
        <f t="shared" si="11"/>
        <v>1385.4315840000002</v>
      </c>
      <c r="Y11" s="89">
        <f>H11+U11-X11</f>
        <v>7662.4184160000004</v>
      </c>
    </row>
    <row r="12" spans="1:25" s="19" customFormat="1" x14ac:dyDescent="0.25">
      <c r="A12" s="88">
        <v>5</v>
      </c>
      <c r="B12" s="26" t="s">
        <v>112</v>
      </c>
      <c r="C12" s="26" t="s">
        <v>108</v>
      </c>
      <c r="D12" s="25">
        <v>15</v>
      </c>
      <c r="E12" s="27">
        <f t="shared" si="0"/>
        <v>603.19000000000005</v>
      </c>
      <c r="F12" s="28">
        <v>9047.85</v>
      </c>
      <c r="G12" s="29">
        <v>0</v>
      </c>
      <c r="H12" s="29">
        <f t="shared" si="1"/>
        <v>9047.85</v>
      </c>
      <c r="I12" s="30"/>
      <c r="J12" s="31">
        <v>0</v>
      </c>
      <c r="K12" s="31">
        <f t="shared" si="2"/>
        <v>9047.85</v>
      </c>
      <c r="L12" s="31">
        <f t="shared" si="3"/>
        <v>5081.41</v>
      </c>
      <c r="M12" s="31">
        <f t="shared" si="4"/>
        <v>3966.4400000000005</v>
      </c>
      <c r="N12" s="32">
        <f t="shared" si="5"/>
        <v>0.21360000000000001</v>
      </c>
      <c r="O12" s="31">
        <f t="shared" si="6"/>
        <v>847.23158400000011</v>
      </c>
      <c r="P12" s="31">
        <f t="shared" si="7"/>
        <v>538.20000000000005</v>
      </c>
      <c r="Q12" s="31">
        <f t="shared" si="8"/>
        <v>1385.4315840000002</v>
      </c>
      <c r="R12" s="31">
        <f t="shared" si="9"/>
        <v>0</v>
      </c>
      <c r="S12" s="31">
        <f t="shared" si="10"/>
        <v>1385.4315840000002</v>
      </c>
      <c r="T12" s="33"/>
      <c r="U12" s="29">
        <f>-IF(S12&gt;0,0,S12)</f>
        <v>0</v>
      </c>
      <c r="V12" s="34">
        <f>IF(S12&lt;0,0,S12)</f>
        <v>1385.4315840000002</v>
      </c>
      <c r="W12" s="35">
        <v>0</v>
      </c>
      <c r="X12" s="29">
        <f t="shared" si="11"/>
        <v>1385.4315840000002</v>
      </c>
      <c r="Y12" s="89">
        <f>H12+U12-X12</f>
        <v>7662.4184160000004</v>
      </c>
    </row>
    <row r="13" spans="1:25" s="19" customFormat="1" x14ac:dyDescent="0.25">
      <c r="A13" s="88">
        <v>6</v>
      </c>
      <c r="B13" s="26" t="s">
        <v>113</v>
      </c>
      <c r="C13" s="26" t="s">
        <v>108</v>
      </c>
      <c r="D13" s="25">
        <v>15</v>
      </c>
      <c r="E13" s="27">
        <f t="shared" si="0"/>
        <v>603.19000000000005</v>
      </c>
      <c r="F13" s="28">
        <v>9047.85</v>
      </c>
      <c r="G13" s="29">
        <v>0</v>
      </c>
      <c r="H13" s="29">
        <f t="shared" si="1"/>
        <v>9047.85</v>
      </c>
      <c r="I13" s="30"/>
      <c r="J13" s="31">
        <v>0</v>
      </c>
      <c r="K13" s="31">
        <f t="shared" si="2"/>
        <v>9047.85</v>
      </c>
      <c r="L13" s="31">
        <f t="shared" si="3"/>
        <v>5081.41</v>
      </c>
      <c r="M13" s="31">
        <f t="shared" si="4"/>
        <v>3966.4400000000005</v>
      </c>
      <c r="N13" s="32">
        <f t="shared" si="5"/>
        <v>0.21360000000000001</v>
      </c>
      <c r="O13" s="31">
        <f t="shared" si="6"/>
        <v>847.23158400000011</v>
      </c>
      <c r="P13" s="31">
        <f t="shared" si="7"/>
        <v>538.20000000000005</v>
      </c>
      <c r="Q13" s="31">
        <f t="shared" si="8"/>
        <v>1385.4315840000002</v>
      </c>
      <c r="R13" s="31">
        <f t="shared" si="9"/>
        <v>0</v>
      </c>
      <c r="S13" s="31">
        <f t="shared" si="10"/>
        <v>1385.4315840000002</v>
      </c>
      <c r="T13" s="33"/>
      <c r="U13" s="29">
        <f>-IF(S13&gt;0,0,S13)</f>
        <v>0</v>
      </c>
      <c r="V13" s="34">
        <f>IF(S13&lt;0,0,S13)</f>
        <v>1385.4315840000002</v>
      </c>
      <c r="W13" s="35">
        <v>0</v>
      </c>
      <c r="X13" s="29">
        <f t="shared" si="11"/>
        <v>1385.4315840000002</v>
      </c>
      <c r="Y13" s="89">
        <f>H13+U13-X13</f>
        <v>7662.4184160000004</v>
      </c>
    </row>
    <row r="14" spans="1:25" s="19" customFormat="1" x14ac:dyDescent="0.25">
      <c r="A14" s="88">
        <v>7</v>
      </c>
      <c r="B14" s="26" t="s">
        <v>114</v>
      </c>
      <c r="C14" s="26" t="s">
        <v>108</v>
      </c>
      <c r="D14" s="25">
        <v>15</v>
      </c>
      <c r="E14" s="27">
        <f t="shared" si="0"/>
        <v>603.19000000000005</v>
      </c>
      <c r="F14" s="28">
        <v>9047.85</v>
      </c>
      <c r="G14" s="29">
        <v>0</v>
      </c>
      <c r="H14" s="29">
        <f t="shared" si="1"/>
        <v>9047.85</v>
      </c>
      <c r="I14" s="30"/>
      <c r="J14" s="31">
        <v>0</v>
      </c>
      <c r="K14" s="31">
        <f t="shared" si="2"/>
        <v>9047.85</v>
      </c>
      <c r="L14" s="31">
        <f t="shared" si="3"/>
        <v>5081.41</v>
      </c>
      <c r="M14" s="31">
        <f t="shared" si="4"/>
        <v>3966.4400000000005</v>
      </c>
      <c r="N14" s="32">
        <f t="shared" si="5"/>
        <v>0.21360000000000001</v>
      </c>
      <c r="O14" s="31">
        <f t="shared" si="6"/>
        <v>847.23158400000011</v>
      </c>
      <c r="P14" s="31">
        <f t="shared" si="7"/>
        <v>538.20000000000005</v>
      </c>
      <c r="Q14" s="31">
        <f t="shared" si="8"/>
        <v>1385.4315840000002</v>
      </c>
      <c r="R14" s="31">
        <f t="shared" si="9"/>
        <v>0</v>
      </c>
      <c r="S14" s="31">
        <f t="shared" si="10"/>
        <v>1385.4315840000002</v>
      </c>
      <c r="T14" s="33"/>
      <c r="U14" s="29">
        <f>-IF(S14&gt;0,0,S14)</f>
        <v>0</v>
      </c>
      <c r="V14" s="34">
        <f>IF(S14&lt;0,0,S14)</f>
        <v>1385.4315840000002</v>
      </c>
      <c r="W14" s="35">
        <v>0</v>
      </c>
      <c r="X14" s="29">
        <f t="shared" si="11"/>
        <v>1385.4315840000002</v>
      </c>
      <c r="Y14" s="89">
        <f>H14+U14-X14</f>
        <v>7662.4184160000004</v>
      </c>
    </row>
    <row r="15" spans="1:25" s="19" customFormat="1" x14ac:dyDescent="0.25">
      <c r="A15" s="88">
        <v>8</v>
      </c>
      <c r="B15" s="26" t="s">
        <v>115</v>
      </c>
      <c r="C15" s="26" t="s">
        <v>108</v>
      </c>
      <c r="D15" s="25">
        <v>15</v>
      </c>
      <c r="E15" s="27">
        <f t="shared" si="0"/>
        <v>603.19000000000005</v>
      </c>
      <c r="F15" s="28">
        <v>9047.85</v>
      </c>
      <c r="G15" s="29">
        <v>0</v>
      </c>
      <c r="H15" s="29">
        <f t="shared" si="1"/>
        <v>9047.85</v>
      </c>
      <c r="I15" s="30"/>
      <c r="J15" s="31">
        <v>0</v>
      </c>
      <c r="K15" s="31">
        <f t="shared" si="2"/>
        <v>9047.85</v>
      </c>
      <c r="L15" s="31">
        <f t="shared" si="3"/>
        <v>5081.41</v>
      </c>
      <c r="M15" s="31">
        <f t="shared" si="4"/>
        <v>3966.4400000000005</v>
      </c>
      <c r="N15" s="32">
        <f t="shared" si="5"/>
        <v>0.21360000000000001</v>
      </c>
      <c r="O15" s="31">
        <f t="shared" si="6"/>
        <v>847.23158400000011</v>
      </c>
      <c r="P15" s="31">
        <f t="shared" si="7"/>
        <v>538.20000000000005</v>
      </c>
      <c r="Q15" s="31">
        <f t="shared" si="8"/>
        <v>1385.4315840000002</v>
      </c>
      <c r="R15" s="31">
        <f t="shared" si="9"/>
        <v>0</v>
      </c>
      <c r="S15" s="31">
        <f t="shared" si="10"/>
        <v>1385.4315840000002</v>
      </c>
      <c r="T15" s="33"/>
      <c r="U15" s="29">
        <f>-IF(S15&gt;0,0,S15)</f>
        <v>0</v>
      </c>
      <c r="V15" s="34">
        <f>IF(S15&lt;0,0,S15)</f>
        <v>1385.4315840000002</v>
      </c>
      <c r="W15" s="35">
        <v>0</v>
      </c>
      <c r="X15" s="29">
        <f t="shared" si="11"/>
        <v>1385.4315840000002</v>
      </c>
      <c r="Y15" s="89">
        <f>H15+U15-X15</f>
        <v>7662.4184160000004</v>
      </c>
    </row>
    <row r="16" spans="1:25" s="19" customFormat="1" x14ac:dyDescent="0.25">
      <c r="A16" s="88">
        <v>9</v>
      </c>
      <c r="B16" s="26" t="s">
        <v>116</v>
      </c>
      <c r="C16" s="26" t="s">
        <v>108</v>
      </c>
      <c r="D16" s="25">
        <v>15</v>
      </c>
      <c r="E16" s="27">
        <f t="shared" si="0"/>
        <v>603.19000000000005</v>
      </c>
      <c r="F16" s="28">
        <v>9047.85</v>
      </c>
      <c r="G16" s="29">
        <v>0</v>
      </c>
      <c r="H16" s="29">
        <v>9047.85</v>
      </c>
      <c r="I16" s="30"/>
      <c r="J16" s="31">
        <v>0</v>
      </c>
      <c r="K16" s="31">
        <f t="shared" si="2"/>
        <v>9047.85</v>
      </c>
      <c r="L16" s="31">
        <f t="shared" si="3"/>
        <v>5081.41</v>
      </c>
      <c r="M16" s="31">
        <f t="shared" si="4"/>
        <v>3966.4400000000005</v>
      </c>
      <c r="N16" s="32">
        <f t="shared" si="5"/>
        <v>0.21360000000000001</v>
      </c>
      <c r="O16" s="31">
        <f t="shared" si="6"/>
        <v>847.23158400000011</v>
      </c>
      <c r="P16" s="31">
        <f t="shared" si="7"/>
        <v>538.20000000000005</v>
      </c>
      <c r="Q16" s="31">
        <f t="shared" si="8"/>
        <v>1385.4315840000002</v>
      </c>
      <c r="R16" s="31">
        <f t="shared" si="9"/>
        <v>0</v>
      </c>
      <c r="S16" s="31">
        <f t="shared" si="10"/>
        <v>1385.4315840000002</v>
      </c>
      <c r="T16" s="33"/>
      <c r="U16" s="29">
        <f>-IF(S16&gt;0,0,S16)</f>
        <v>0</v>
      </c>
      <c r="V16" s="34">
        <f>IF(S16&lt;0,0,S16)</f>
        <v>1385.4315840000002</v>
      </c>
      <c r="W16" s="35">
        <v>0</v>
      </c>
      <c r="X16" s="29">
        <f t="shared" si="11"/>
        <v>1385.4315840000002</v>
      </c>
      <c r="Y16" s="89">
        <f>H16+U16-X16</f>
        <v>7662.4184160000004</v>
      </c>
    </row>
    <row r="17" spans="1:25" s="19" customFormat="1" x14ac:dyDescent="0.25">
      <c r="A17" s="88">
        <v>10</v>
      </c>
      <c r="B17" s="26" t="s">
        <v>117</v>
      </c>
      <c r="C17" s="26" t="s">
        <v>118</v>
      </c>
      <c r="D17" s="25">
        <v>15</v>
      </c>
      <c r="E17" s="27">
        <f>F17/15</f>
        <v>989.7886666666667</v>
      </c>
      <c r="F17" s="28">
        <v>14846.83</v>
      </c>
      <c r="G17" s="29">
        <v>0</v>
      </c>
      <c r="H17" s="29">
        <f t="shared" si="1"/>
        <v>14846.83</v>
      </c>
      <c r="I17" s="30"/>
      <c r="J17" s="31">
        <v>0</v>
      </c>
      <c r="K17" s="31">
        <f t="shared" si="2"/>
        <v>14846.83</v>
      </c>
      <c r="L17" s="31">
        <f t="shared" si="3"/>
        <v>10248.459999999999</v>
      </c>
      <c r="M17" s="31">
        <f t="shared" si="4"/>
        <v>4598.3700000000008</v>
      </c>
      <c r="N17" s="32">
        <f t="shared" si="5"/>
        <v>0.23519999999999999</v>
      </c>
      <c r="O17" s="31">
        <f t="shared" si="6"/>
        <v>1081.5366240000001</v>
      </c>
      <c r="P17" s="31">
        <f t="shared" si="7"/>
        <v>1641.75</v>
      </c>
      <c r="Q17" s="31">
        <f t="shared" si="8"/>
        <v>2723.2866240000003</v>
      </c>
      <c r="R17" s="31">
        <f t="shared" si="9"/>
        <v>0</v>
      </c>
      <c r="S17" s="31">
        <f t="shared" si="10"/>
        <v>2723.2866240000003</v>
      </c>
      <c r="T17" s="33"/>
      <c r="U17" s="29">
        <f>-IF(S17&gt;0,0,S17)</f>
        <v>0</v>
      </c>
      <c r="V17" s="34">
        <f>IF(S17&lt;0,0,S17)</f>
        <v>2723.2866240000003</v>
      </c>
      <c r="W17" s="35">
        <v>0</v>
      </c>
      <c r="X17" s="29">
        <f t="shared" si="11"/>
        <v>2723.2866240000003</v>
      </c>
      <c r="Y17" s="89">
        <f>H17+U17-X17</f>
        <v>12123.543376</v>
      </c>
    </row>
    <row r="18" spans="1:25" s="19" customFormat="1" x14ac:dyDescent="0.25">
      <c r="A18" s="90"/>
      <c r="B18" s="20" t="s">
        <v>119</v>
      </c>
      <c r="C18" s="20" t="s">
        <v>47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91"/>
    </row>
    <row r="19" spans="1:25" s="19" customFormat="1" x14ac:dyDescent="0.25">
      <c r="A19" s="92"/>
      <c r="B19" s="38" t="s">
        <v>48</v>
      </c>
      <c r="C19" s="38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93"/>
    </row>
    <row r="20" spans="1:25" s="19" customFormat="1" x14ac:dyDescent="0.25">
      <c r="A20" s="88">
        <v>11</v>
      </c>
      <c r="B20" s="26" t="s">
        <v>120</v>
      </c>
      <c r="C20" s="26" t="s">
        <v>121</v>
      </c>
      <c r="D20" s="25">
        <v>15</v>
      </c>
      <c r="E20" s="27">
        <f>F20/15</f>
        <v>1243.0319999999999</v>
      </c>
      <c r="F20" s="39">
        <v>18645.48</v>
      </c>
      <c r="G20" s="29">
        <v>0</v>
      </c>
      <c r="H20" s="29">
        <f>TRUNC(SUM(D20*E20)+G20,2)</f>
        <v>18645.48</v>
      </c>
      <c r="I20" s="30"/>
      <c r="J20" s="31">
        <v>0</v>
      </c>
      <c r="K20" s="31">
        <f>H20+J20</f>
        <v>18645.48</v>
      </c>
      <c r="L20" s="31">
        <f>IF(H20=0,0,VLOOKUP(K20,Tarifa1,1))</f>
        <v>16153.06</v>
      </c>
      <c r="M20" s="31">
        <f>K20-L20</f>
        <v>2492.42</v>
      </c>
      <c r="N20" s="32">
        <f>VLOOKUP(K20,Tarifa1,3)</f>
        <v>0.3</v>
      </c>
      <c r="O20" s="31">
        <f>M20*N20</f>
        <v>747.726</v>
      </c>
      <c r="P20" s="31">
        <f>VLOOKUP(K20,Tarifa1,2)</f>
        <v>3030.6</v>
      </c>
      <c r="Q20" s="31">
        <f>O20+P20</f>
        <v>3778.326</v>
      </c>
      <c r="R20" s="31">
        <f>VLOOKUP(K20,Credito1,2)</f>
        <v>0</v>
      </c>
      <c r="S20" s="31">
        <f>Q20-R20</f>
        <v>3778.326</v>
      </c>
      <c r="T20" s="33"/>
      <c r="U20" s="29">
        <f>-IF(S20&gt;0,0,S20)</f>
        <v>0</v>
      </c>
      <c r="V20" s="34">
        <f>IF(S20&lt;0,0,S20)</f>
        <v>3778.326</v>
      </c>
      <c r="W20" s="35">
        <v>0</v>
      </c>
      <c r="X20" s="29">
        <f>SUM(V20:W20)</f>
        <v>3778.326</v>
      </c>
      <c r="Y20" s="89">
        <f>H20+U20-X20</f>
        <v>14867.153999999999</v>
      </c>
    </row>
    <row r="21" spans="1:25" s="19" customFormat="1" x14ac:dyDescent="0.25">
      <c r="A21" s="88">
        <v>12</v>
      </c>
      <c r="B21" s="26" t="s">
        <v>122</v>
      </c>
      <c r="C21" s="26" t="s">
        <v>123</v>
      </c>
      <c r="D21" s="25">
        <v>15</v>
      </c>
      <c r="E21" s="27">
        <f t="shared" ref="E21:E43" si="12">F21/15</f>
        <v>333.33333333333331</v>
      </c>
      <c r="F21" s="39">
        <v>5000</v>
      </c>
      <c r="G21" s="29">
        <v>0</v>
      </c>
      <c r="H21" s="29">
        <f t="shared" ref="H21:H43" si="13">TRUNC(SUM(D21*E21)+G21,2)</f>
        <v>5000</v>
      </c>
      <c r="I21" s="30"/>
      <c r="J21" s="31">
        <v>0</v>
      </c>
      <c r="K21" s="31">
        <f>H21+J21</f>
        <v>5000</v>
      </c>
      <c r="L21" s="31">
        <f>IF(H21=0,0,VLOOKUP(K21,Tarifa1,1))</f>
        <v>4244.1099999999997</v>
      </c>
      <c r="M21" s="31">
        <f>K21-L21</f>
        <v>755.89000000000033</v>
      </c>
      <c r="N21" s="32">
        <f>VLOOKUP(K21,Tarifa1,3)</f>
        <v>0.1792</v>
      </c>
      <c r="O21" s="31">
        <f>M21*N21</f>
        <v>135.45548800000006</v>
      </c>
      <c r="P21" s="31">
        <f>VLOOKUP(K21,Tarifa1,2)</f>
        <v>388.05</v>
      </c>
      <c r="Q21" s="31">
        <f>O21+P21</f>
        <v>523.50548800000001</v>
      </c>
      <c r="R21" s="31">
        <f>VLOOKUP(K21,Credito1,2)</f>
        <v>0</v>
      </c>
      <c r="S21" s="31">
        <f>Q21-R21</f>
        <v>523.50548800000001</v>
      </c>
      <c r="T21" s="33"/>
      <c r="U21" s="29">
        <f>-IF(S21&gt;0,0,S21)</f>
        <v>0</v>
      </c>
      <c r="V21" s="34">
        <f>IF(S21&lt;0,0,S21)</f>
        <v>523.50548800000001</v>
      </c>
      <c r="W21" s="35">
        <v>0</v>
      </c>
      <c r="X21" s="29">
        <f>SUM(V21:W21)</f>
        <v>523.50548800000001</v>
      </c>
      <c r="Y21" s="89">
        <f>H21+U21-X21</f>
        <v>4476.4945120000002</v>
      </c>
    </row>
    <row r="22" spans="1:25" s="19" customFormat="1" x14ac:dyDescent="0.25">
      <c r="A22" s="88">
        <v>13</v>
      </c>
      <c r="B22" s="26" t="s">
        <v>124</v>
      </c>
      <c r="C22" s="26" t="s">
        <v>125</v>
      </c>
      <c r="D22" s="25">
        <v>15</v>
      </c>
      <c r="E22" s="27">
        <f t="shared" si="12"/>
        <v>135.4</v>
      </c>
      <c r="F22" s="39">
        <v>2031</v>
      </c>
      <c r="G22" s="29">
        <v>0</v>
      </c>
      <c r="H22" s="29">
        <f t="shared" si="13"/>
        <v>2031</v>
      </c>
      <c r="I22" s="30"/>
      <c r="J22" s="31">
        <v>0</v>
      </c>
      <c r="K22" s="31">
        <f>H22+J22</f>
        <v>2031</v>
      </c>
      <c r="L22" s="31">
        <f>IF(H22=0,0,VLOOKUP(K22,Tarifa1,1))</f>
        <v>244.81</v>
      </c>
      <c r="M22" s="31">
        <f>K22-L22</f>
        <v>1786.19</v>
      </c>
      <c r="N22" s="32">
        <f>VLOOKUP(K22,Tarifa1,3)</f>
        <v>6.4000000000000001E-2</v>
      </c>
      <c r="O22" s="31">
        <f>M22*N22</f>
        <v>114.31616000000001</v>
      </c>
      <c r="P22" s="31">
        <f>VLOOKUP(K22,Tarifa1,2)</f>
        <v>4.6500000000000004</v>
      </c>
      <c r="Q22" s="31">
        <f>O22+P22</f>
        <v>118.96616000000002</v>
      </c>
      <c r="R22" s="31">
        <f>VLOOKUP(K22,Credito1,2)</f>
        <v>188.7</v>
      </c>
      <c r="S22" s="31">
        <f>Q22-R22</f>
        <v>-69.733839999999972</v>
      </c>
      <c r="T22" s="33"/>
      <c r="U22" s="29">
        <f>-IF(S22&gt;0,0,S22)</f>
        <v>69.733839999999972</v>
      </c>
      <c r="V22" s="34">
        <f>IF(S22&lt;0,0,S22)</f>
        <v>0</v>
      </c>
      <c r="W22" s="35">
        <v>0</v>
      </c>
      <c r="X22" s="29">
        <f>SUM(V22:W22)</f>
        <v>0</v>
      </c>
      <c r="Y22" s="89">
        <f>H22+U22-X22</f>
        <v>2100.7338399999999</v>
      </c>
    </row>
    <row r="23" spans="1:25" s="19" customFormat="1" x14ac:dyDescent="0.25">
      <c r="A23" s="88">
        <v>14</v>
      </c>
      <c r="B23" s="26" t="s">
        <v>126</v>
      </c>
      <c r="C23" s="26" t="s">
        <v>67</v>
      </c>
      <c r="D23" s="25">
        <v>15</v>
      </c>
      <c r="E23" s="27">
        <f t="shared" si="12"/>
        <v>204.2</v>
      </c>
      <c r="F23" s="39">
        <v>3063</v>
      </c>
      <c r="G23" s="29">
        <v>0</v>
      </c>
      <c r="H23" s="29">
        <f t="shared" si="13"/>
        <v>3063</v>
      </c>
      <c r="I23" s="30"/>
      <c r="J23" s="31">
        <v>0</v>
      </c>
      <c r="K23" s="31">
        <f>H23+J23</f>
        <v>3063</v>
      </c>
      <c r="L23" s="31">
        <f>IF(H23=0,0,VLOOKUP(K23,Tarifa1,1))</f>
        <v>2077.5100000000002</v>
      </c>
      <c r="M23" s="31">
        <f>K23-L23</f>
        <v>985.48999999999978</v>
      </c>
      <c r="N23" s="32">
        <f>VLOOKUP(K23,Tarifa1,3)</f>
        <v>0.10879999999999999</v>
      </c>
      <c r="O23" s="31">
        <f>M23*N23</f>
        <v>107.22131199999997</v>
      </c>
      <c r="P23" s="31">
        <f>VLOOKUP(K23,Tarifa1,2)</f>
        <v>121.95</v>
      </c>
      <c r="Q23" s="31">
        <f>O23+P23</f>
        <v>229.17131199999997</v>
      </c>
      <c r="R23" s="31">
        <f>VLOOKUP(K23,Credito1,2)</f>
        <v>145.35</v>
      </c>
      <c r="S23" s="31">
        <f>Q23-R23</f>
        <v>83.821311999999978</v>
      </c>
      <c r="T23" s="33"/>
      <c r="U23" s="29">
        <f>-IF(S23&gt;0,0,S23)</f>
        <v>0</v>
      </c>
      <c r="V23" s="34">
        <f>IF(S23&lt;0,0,S23)</f>
        <v>83.821311999999978</v>
      </c>
      <c r="W23" s="35">
        <v>0</v>
      </c>
      <c r="X23" s="29">
        <f>SUM(V23:W23)</f>
        <v>83.821311999999978</v>
      </c>
      <c r="Y23" s="89">
        <f>H23+U23-X23</f>
        <v>2979.178688</v>
      </c>
    </row>
    <row r="24" spans="1:25" s="19" customFormat="1" x14ac:dyDescent="0.25">
      <c r="A24" s="88">
        <v>15</v>
      </c>
      <c r="B24" s="26" t="s">
        <v>127</v>
      </c>
      <c r="C24" s="26" t="s">
        <v>128</v>
      </c>
      <c r="D24" s="25">
        <v>15</v>
      </c>
      <c r="E24" s="27">
        <f t="shared" si="12"/>
        <v>109.6</v>
      </c>
      <c r="F24" s="39">
        <v>1644</v>
      </c>
      <c r="G24" s="29">
        <v>0</v>
      </c>
      <c r="H24" s="29">
        <f t="shared" si="13"/>
        <v>1644</v>
      </c>
      <c r="I24" s="30"/>
      <c r="J24" s="31">
        <v>0</v>
      </c>
      <c r="K24" s="31">
        <f>H24+J24</f>
        <v>1644</v>
      </c>
      <c r="L24" s="31">
        <f>IF(H24=0,0,VLOOKUP(K24,Tarifa1,1))</f>
        <v>244.81</v>
      </c>
      <c r="M24" s="31">
        <f>K24-L24</f>
        <v>1399.19</v>
      </c>
      <c r="N24" s="32">
        <f>VLOOKUP(K24,Tarifa1,3)</f>
        <v>6.4000000000000001E-2</v>
      </c>
      <c r="O24" s="31">
        <f>M24*N24</f>
        <v>89.54816000000001</v>
      </c>
      <c r="P24" s="31">
        <f>VLOOKUP(K24,Tarifa1,2)</f>
        <v>4.6500000000000004</v>
      </c>
      <c r="Q24" s="31">
        <f>O24+P24</f>
        <v>94.198160000000016</v>
      </c>
      <c r="R24" s="31">
        <f>VLOOKUP(K24,Credito1,2)</f>
        <v>200.7</v>
      </c>
      <c r="S24" s="31">
        <f>Q24-R24</f>
        <v>-106.50183999999997</v>
      </c>
      <c r="T24" s="33"/>
      <c r="U24" s="29">
        <f>-IF(S24&gt;0,0,S24)</f>
        <v>106.50183999999997</v>
      </c>
      <c r="V24" s="34">
        <f>IF(S24&lt;0,0,S24)</f>
        <v>0</v>
      </c>
      <c r="W24" s="35">
        <v>0</v>
      </c>
      <c r="X24" s="29">
        <f>SUM(V24:W24)</f>
        <v>0</v>
      </c>
      <c r="Y24" s="89">
        <f>H24+U24-X24</f>
        <v>1750.5018399999999</v>
      </c>
    </row>
    <row r="25" spans="1:25" s="19" customFormat="1" x14ac:dyDescent="0.25">
      <c r="A25" s="88"/>
      <c r="B25" s="40" t="s">
        <v>129</v>
      </c>
      <c r="C25" s="41"/>
      <c r="D25" s="42"/>
      <c r="E25" s="29"/>
      <c r="F25" s="30"/>
      <c r="G25" s="43"/>
      <c r="H25" s="43"/>
      <c r="I25" s="31"/>
      <c r="J25" s="31"/>
      <c r="K25" s="32"/>
      <c r="L25" s="31"/>
      <c r="M25" s="31"/>
      <c r="N25" s="31"/>
      <c r="O25" s="31"/>
      <c r="P25" s="31"/>
      <c r="Q25" s="33"/>
      <c r="R25" s="29"/>
      <c r="S25" s="34"/>
      <c r="T25" s="35"/>
      <c r="U25" s="29"/>
      <c r="V25" s="34"/>
      <c r="W25" s="35"/>
      <c r="X25" s="29"/>
      <c r="Y25" s="89"/>
    </row>
    <row r="26" spans="1:25" s="19" customFormat="1" x14ac:dyDescent="0.25">
      <c r="A26" s="88">
        <v>16</v>
      </c>
      <c r="B26" s="26" t="s">
        <v>130</v>
      </c>
      <c r="C26" s="26" t="s">
        <v>131</v>
      </c>
      <c r="D26" s="25">
        <v>15</v>
      </c>
      <c r="E26" s="27">
        <f t="shared" si="12"/>
        <v>555.20000000000005</v>
      </c>
      <c r="F26" s="39">
        <v>8328</v>
      </c>
      <c r="G26" s="29">
        <v>0</v>
      </c>
      <c r="H26" s="29">
        <f t="shared" si="13"/>
        <v>8328</v>
      </c>
      <c r="I26" s="30"/>
      <c r="J26" s="31">
        <v>0</v>
      </c>
      <c r="K26" s="31">
        <f>H26+J26</f>
        <v>8328</v>
      </c>
      <c r="L26" s="31">
        <f>IF(H26=0,0,VLOOKUP(K26,Tarifa1,1))</f>
        <v>5081.41</v>
      </c>
      <c r="M26" s="31">
        <f>K26-L26</f>
        <v>3246.59</v>
      </c>
      <c r="N26" s="32">
        <f>VLOOKUP(K26,Tarifa1,3)</f>
        <v>0.21360000000000001</v>
      </c>
      <c r="O26" s="31">
        <f>M26*N26</f>
        <v>693.47162400000002</v>
      </c>
      <c r="P26" s="31">
        <f>VLOOKUP(K26,Tarifa1,2)</f>
        <v>538.20000000000005</v>
      </c>
      <c r="Q26" s="31">
        <f>O26+P26</f>
        <v>1231.6716240000001</v>
      </c>
      <c r="R26" s="31">
        <f>VLOOKUP(K26,Credito1,2)</f>
        <v>0</v>
      </c>
      <c r="S26" s="31">
        <f>Q26-R26</f>
        <v>1231.6716240000001</v>
      </c>
      <c r="T26" s="33"/>
      <c r="U26" s="29">
        <v>0</v>
      </c>
      <c r="V26" s="34">
        <f>IF(S26&lt;0,0,S26)</f>
        <v>1231.6716240000001</v>
      </c>
      <c r="W26" s="35">
        <v>0</v>
      </c>
      <c r="X26" s="29">
        <f>SUM(V26:W26)</f>
        <v>1231.6716240000001</v>
      </c>
      <c r="Y26" s="89">
        <f>H26+U26-X26</f>
        <v>7096.3283759999995</v>
      </c>
    </row>
    <row r="27" spans="1:25" s="19" customFormat="1" ht="26.25" x14ac:dyDescent="0.25">
      <c r="A27" s="88"/>
      <c r="B27" s="40" t="s">
        <v>132</v>
      </c>
      <c r="C27" s="26"/>
      <c r="D27" s="25"/>
      <c r="E27" s="27"/>
      <c r="F27" s="39"/>
      <c r="G27" s="29"/>
      <c r="H27" s="29"/>
      <c r="I27" s="30"/>
      <c r="J27" s="31"/>
      <c r="K27" s="31"/>
      <c r="L27" s="31"/>
      <c r="M27" s="31"/>
      <c r="N27" s="32"/>
      <c r="O27" s="31"/>
      <c r="P27" s="31"/>
      <c r="Q27" s="31"/>
      <c r="R27" s="31"/>
      <c r="S27" s="31"/>
      <c r="T27" s="33"/>
      <c r="U27" s="29"/>
      <c r="V27" s="34"/>
      <c r="W27" s="35"/>
      <c r="X27" s="29"/>
      <c r="Y27" s="89"/>
    </row>
    <row r="28" spans="1:25" s="19" customFormat="1" ht="29.25" x14ac:dyDescent="0.25">
      <c r="A28" s="88">
        <v>17</v>
      </c>
      <c r="B28" s="44" t="s">
        <v>133</v>
      </c>
      <c r="C28" s="26" t="s">
        <v>134</v>
      </c>
      <c r="D28" s="25">
        <v>15</v>
      </c>
      <c r="E28" s="27">
        <f>F28/15</f>
        <v>123.53333333333333</v>
      </c>
      <c r="F28" s="39">
        <v>1853</v>
      </c>
      <c r="G28" s="29">
        <v>0</v>
      </c>
      <c r="H28" s="29">
        <f>TRUNC(SUM(D28*E28)+G28,2)</f>
        <v>1853</v>
      </c>
      <c r="I28" s="30"/>
      <c r="J28" s="31">
        <v>0</v>
      </c>
      <c r="K28" s="31">
        <f>H28+J28</f>
        <v>1853</v>
      </c>
      <c r="L28" s="31">
        <f>IF(H28=0,0,VLOOKUP(K28,Tarifa1,1))</f>
        <v>244.81</v>
      </c>
      <c r="M28" s="31">
        <f>K28-L28</f>
        <v>1608.19</v>
      </c>
      <c r="N28" s="32">
        <f>VLOOKUP(K28,Tarifa1,3)</f>
        <v>6.4000000000000001E-2</v>
      </c>
      <c r="O28" s="31">
        <f>M28*N28</f>
        <v>102.92416</v>
      </c>
      <c r="P28" s="31">
        <f>VLOOKUP(K28,Tarifa1,2)</f>
        <v>4.6500000000000004</v>
      </c>
      <c r="Q28" s="31">
        <f>O28+P28</f>
        <v>107.57416000000001</v>
      </c>
      <c r="R28" s="31">
        <f>VLOOKUP(K28,Credito1,2)</f>
        <v>188.7</v>
      </c>
      <c r="S28" s="31">
        <f>Q28-R28</f>
        <v>-81.125839999999982</v>
      </c>
      <c r="T28" s="33"/>
      <c r="U28" s="29">
        <v>81.13</v>
      </c>
      <c r="V28" s="34">
        <v>0</v>
      </c>
      <c r="W28" s="35">
        <v>0</v>
      </c>
      <c r="X28" s="29">
        <f>SUM(V28:W28)</f>
        <v>0</v>
      </c>
      <c r="Y28" s="89">
        <f>H28+U28-X28</f>
        <v>1934.13</v>
      </c>
    </row>
    <row r="29" spans="1:25" s="19" customFormat="1" x14ac:dyDescent="0.25">
      <c r="A29" s="88"/>
      <c r="B29" s="40" t="s">
        <v>135</v>
      </c>
      <c r="C29" s="26"/>
      <c r="D29" s="25"/>
      <c r="E29" s="27"/>
      <c r="F29" s="39"/>
      <c r="G29" s="29"/>
      <c r="H29" s="29"/>
      <c r="I29" s="30"/>
      <c r="J29" s="31"/>
      <c r="K29" s="31"/>
      <c r="L29" s="31"/>
      <c r="M29" s="31"/>
      <c r="N29" s="32"/>
      <c r="O29" s="31"/>
      <c r="P29" s="31"/>
      <c r="Q29" s="31"/>
      <c r="R29" s="31"/>
      <c r="S29" s="31"/>
      <c r="T29" s="33"/>
      <c r="U29" s="29"/>
      <c r="V29" s="34"/>
      <c r="W29" s="35"/>
      <c r="X29" s="29"/>
      <c r="Y29" s="89"/>
    </row>
    <row r="30" spans="1:25" s="19" customFormat="1" x14ac:dyDescent="0.25">
      <c r="A30" s="88">
        <v>18</v>
      </c>
      <c r="B30" s="26" t="s">
        <v>136</v>
      </c>
      <c r="C30" s="26" t="s">
        <v>137</v>
      </c>
      <c r="D30" s="25">
        <v>15</v>
      </c>
      <c r="E30" s="27">
        <f t="shared" si="12"/>
        <v>216.26666666666668</v>
      </c>
      <c r="F30" s="39">
        <v>3244</v>
      </c>
      <c r="G30" s="29">
        <v>0</v>
      </c>
      <c r="H30" s="29">
        <f t="shared" si="13"/>
        <v>3244</v>
      </c>
      <c r="I30" s="30"/>
      <c r="J30" s="31">
        <v>0</v>
      </c>
      <c r="K30" s="31">
        <f>H30+J30</f>
        <v>3244</v>
      </c>
      <c r="L30" s="31">
        <f>IF(H30=0,0,VLOOKUP(K30,Tarifa1,1))</f>
        <v>2077.5100000000002</v>
      </c>
      <c r="M30" s="31">
        <f>K30-L30</f>
        <v>1166.4899999999998</v>
      </c>
      <c r="N30" s="32">
        <f>VLOOKUP(K30,Tarifa1,3)</f>
        <v>0.10879999999999999</v>
      </c>
      <c r="O30" s="31">
        <f>M30*N30</f>
        <v>126.91411199999997</v>
      </c>
      <c r="P30" s="31">
        <f>VLOOKUP(K30,Tarifa1,2)</f>
        <v>121.95</v>
      </c>
      <c r="Q30" s="31">
        <f>O30+P30</f>
        <v>248.86411199999998</v>
      </c>
      <c r="R30" s="31">
        <f>VLOOKUP(K30,Credito1,2)</f>
        <v>125.1</v>
      </c>
      <c r="S30" s="31">
        <f>Q30-R30</f>
        <v>123.76411199999998</v>
      </c>
      <c r="T30" s="33"/>
      <c r="U30" s="29">
        <f>-IF(S30&gt;0,0,S30)</f>
        <v>0</v>
      </c>
      <c r="V30" s="34">
        <f>IF(S30&lt;0,0,S30)</f>
        <v>123.76411199999998</v>
      </c>
      <c r="W30" s="35">
        <v>0</v>
      </c>
      <c r="X30" s="29">
        <f>SUM(V30:W30)</f>
        <v>123.76411199999998</v>
      </c>
      <c r="Y30" s="89">
        <f>H30+U30-X30</f>
        <v>3120.2358880000002</v>
      </c>
    </row>
    <row r="31" spans="1:25" s="19" customFormat="1" x14ac:dyDescent="0.25">
      <c r="A31" s="88">
        <v>19</v>
      </c>
      <c r="B31" s="26" t="s">
        <v>138</v>
      </c>
      <c r="C31" s="26" t="s">
        <v>139</v>
      </c>
      <c r="D31" s="25">
        <v>15</v>
      </c>
      <c r="E31" s="27">
        <f t="shared" si="12"/>
        <v>139.19999999999999</v>
      </c>
      <c r="F31" s="39">
        <v>2088</v>
      </c>
      <c r="G31" s="29">
        <v>0</v>
      </c>
      <c r="H31" s="29">
        <f t="shared" si="13"/>
        <v>2088</v>
      </c>
      <c r="I31" s="30"/>
      <c r="J31" s="31">
        <v>0</v>
      </c>
      <c r="K31" s="31">
        <f>H31+J31</f>
        <v>2088</v>
      </c>
      <c r="L31" s="31">
        <f>IF(H31=0,0,VLOOKUP(K31,Tarifa1,1))</f>
        <v>2077.5100000000002</v>
      </c>
      <c r="M31" s="31">
        <f>K31-L31</f>
        <v>10.489999999999782</v>
      </c>
      <c r="N31" s="32">
        <f>VLOOKUP(K31,Tarifa1,3)</f>
        <v>0.10879999999999999</v>
      </c>
      <c r="O31" s="31">
        <f>M31*N31</f>
        <v>1.1413119999999761</v>
      </c>
      <c r="P31" s="31">
        <f>VLOOKUP(K31,Tarifa1,2)</f>
        <v>121.95</v>
      </c>
      <c r="Q31" s="31">
        <f>O31+P31</f>
        <v>123.09131199999997</v>
      </c>
      <c r="R31" s="31">
        <f>VLOOKUP(K31,Credito1,2)</f>
        <v>188.7</v>
      </c>
      <c r="S31" s="31">
        <f>Q31-R31</f>
        <v>-65.608688000000015</v>
      </c>
      <c r="T31" s="33"/>
      <c r="U31" s="29">
        <f>-IF(S31&gt;0,0,S31)</f>
        <v>65.608688000000015</v>
      </c>
      <c r="V31" s="34">
        <f>IF(S31&lt;0,0,S31)</f>
        <v>0</v>
      </c>
      <c r="W31" s="35">
        <v>0</v>
      </c>
      <c r="X31" s="29">
        <f>SUM(V31:W31)</f>
        <v>0</v>
      </c>
      <c r="Y31" s="89">
        <f>H31+U31-X31</f>
        <v>2153.6086879999998</v>
      </c>
    </row>
    <row r="32" spans="1:25" s="19" customFormat="1" x14ac:dyDescent="0.25">
      <c r="A32" s="88"/>
      <c r="B32" s="40" t="s">
        <v>60</v>
      </c>
      <c r="C32" s="26"/>
      <c r="D32" s="25"/>
      <c r="E32" s="27"/>
      <c r="F32" s="39"/>
      <c r="G32" s="29"/>
      <c r="H32" s="29"/>
      <c r="I32" s="30"/>
      <c r="J32" s="31"/>
      <c r="K32" s="31"/>
      <c r="L32" s="31"/>
      <c r="M32" s="31"/>
      <c r="N32" s="32"/>
      <c r="O32" s="31"/>
      <c r="P32" s="31"/>
      <c r="Q32" s="31"/>
      <c r="R32" s="31"/>
      <c r="S32" s="31"/>
      <c r="T32" s="33"/>
      <c r="U32" s="29"/>
      <c r="V32" s="34"/>
      <c r="W32" s="35"/>
      <c r="X32" s="29"/>
      <c r="Y32" s="89"/>
    </row>
    <row r="33" spans="1:25" s="19" customFormat="1" x14ac:dyDescent="0.25">
      <c r="A33" s="88">
        <v>20</v>
      </c>
      <c r="B33" s="26" t="s">
        <v>140</v>
      </c>
      <c r="C33" s="26" t="s">
        <v>141</v>
      </c>
      <c r="D33" s="25">
        <v>15</v>
      </c>
      <c r="E33" s="27">
        <f t="shared" si="12"/>
        <v>216.26666666666668</v>
      </c>
      <c r="F33" s="39">
        <v>3244</v>
      </c>
      <c r="G33" s="29">
        <v>0</v>
      </c>
      <c r="H33" s="29">
        <f t="shared" si="13"/>
        <v>3244</v>
      </c>
      <c r="I33" s="30"/>
      <c r="J33" s="31">
        <v>0</v>
      </c>
      <c r="K33" s="31">
        <f>H33+J33</f>
        <v>3244</v>
      </c>
      <c r="L33" s="31">
        <f>VLOOKUP(K33,Tarifa1,1)</f>
        <v>2077.5100000000002</v>
      </c>
      <c r="M33" s="31">
        <f>K33-L33</f>
        <v>1166.4899999999998</v>
      </c>
      <c r="N33" s="32">
        <f>VLOOKUP(K33,Tarifa1,3)</f>
        <v>0.10879999999999999</v>
      </c>
      <c r="O33" s="31">
        <f>M33*N33</f>
        <v>126.91411199999997</v>
      </c>
      <c r="P33" s="31">
        <f>VLOOKUP(K33,Tarifa1,2)</f>
        <v>121.95</v>
      </c>
      <c r="Q33" s="31">
        <f>O33+P33</f>
        <v>248.86411199999998</v>
      </c>
      <c r="R33" s="31">
        <f>VLOOKUP(K33,Credito1,2)</f>
        <v>125.1</v>
      </c>
      <c r="S33" s="31">
        <f>Q33-R33</f>
        <v>123.76411199999998</v>
      </c>
      <c r="T33" s="33"/>
      <c r="U33" s="29">
        <f>-IF(S33&gt;0,0,S33)</f>
        <v>0</v>
      </c>
      <c r="V33" s="34">
        <f>IF(S33&lt;0,0,S33)</f>
        <v>123.76411199999998</v>
      </c>
      <c r="W33" s="35">
        <v>0</v>
      </c>
      <c r="X33" s="29">
        <f>SUM(V33:W33)</f>
        <v>123.76411199999998</v>
      </c>
      <c r="Y33" s="89">
        <f>H33+U33-X33</f>
        <v>3120.2358880000002</v>
      </c>
    </row>
    <row r="34" spans="1:25" s="19" customFormat="1" ht="26.25" x14ac:dyDescent="0.25">
      <c r="A34" s="88"/>
      <c r="B34" s="40" t="s">
        <v>142</v>
      </c>
      <c r="C34" s="26"/>
      <c r="D34" s="25"/>
      <c r="E34" s="27"/>
      <c r="F34" s="39"/>
      <c r="G34" s="29"/>
      <c r="H34" s="29"/>
      <c r="I34" s="30"/>
      <c r="J34" s="31"/>
      <c r="K34" s="31"/>
      <c r="L34" s="31"/>
      <c r="M34" s="31"/>
      <c r="N34" s="32"/>
      <c r="O34" s="31"/>
      <c r="P34" s="31"/>
      <c r="Q34" s="31"/>
      <c r="R34" s="31"/>
      <c r="S34" s="31"/>
      <c r="T34" s="33"/>
      <c r="U34" s="29"/>
      <c r="V34" s="34"/>
      <c r="W34" s="35"/>
      <c r="X34" s="29"/>
      <c r="Y34" s="89"/>
    </row>
    <row r="35" spans="1:25" s="19" customFormat="1" x14ac:dyDescent="0.25">
      <c r="A35" s="88">
        <v>21</v>
      </c>
      <c r="B35" s="26" t="s">
        <v>143</v>
      </c>
      <c r="C35" s="26" t="s">
        <v>144</v>
      </c>
      <c r="D35" s="25">
        <v>15</v>
      </c>
      <c r="E35" s="27">
        <f t="shared" si="12"/>
        <v>216.26666666666668</v>
      </c>
      <c r="F35" s="39">
        <v>3244</v>
      </c>
      <c r="G35" s="29">
        <v>0</v>
      </c>
      <c r="H35" s="29">
        <f t="shared" si="13"/>
        <v>3244</v>
      </c>
      <c r="I35" s="30"/>
      <c r="J35" s="31">
        <v>0</v>
      </c>
      <c r="K35" s="31">
        <f>H35+J35</f>
        <v>3244</v>
      </c>
      <c r="L35" s="31">
        <f>VLOOKUP(K35,Tarifa1,1)</f>
        <v>2077.5100000000002</v>
      </c>
      <c r="M35" s="31">
        <f>K35-L35</f>
        <v>1166.4899999999998</v>
      </c>
      <c r="N35" s="32">
        <f>VLOOKUP(K35,Tarifa1,3)</f>
        <v>0.10879999999999999</v>
      </c>
      <c r="O35" s="31">
        <f>M35*N35</f>
        <v>126.91411199999997</v>
      </c>
      <c r="P35" s="31">
        <f>VLOOKUP(K35,Tarifa1,2)</f>
        <v>121.95</v>
      </c>
      <c r="Q35" s="31">
        <f>O35+P35</f>
        <v>248.86411199999998</v>
      </c>
      <c r="R35" s="31">
        <f>VLOOKUP(K35,Credito1,2)</f>
        <v>125.1</v>
      </c>
      <c r="S35" s="31">
        <f>Q35-R35</f>
        <v>123.76411199999998</v>
      </c>
      <c r="T35" s="33"/>
      <c r="U35" s="29">
        <f>-IF(S35&gt;0,0,S35)</f>
        <v>0</v>
      </c>
      <c r="V35" s="34">
        <f>IF(S35&lt;0,0,S35)</f>
        <v>123.76411199999998</v>
      </c>
      <c r="W35" s="35">
        <v>0</v>
      </c>
      <c r="X35" s="29">
        <f>SUM(V35:W35)</f>
        <v>123.76411199999998</v>
      </c>
      <c r="Y35" s="89">
        <f>H35+U35-X35</f>
        <v>3120.2358880000002</v>
      </c>
    </row>
    <row r="36" spans="1:25" s="19" customFormat="1" x14ac:dyDescent="0.25">
      <c r="A36" s="88">
        <v>22</v>
      </c>
      <c r="B36" s="26" t="s">
        <v>145</v>
      </c>
      <c r="C36" s="26" t="s">
        <v>146</v>
      </c>
      <c r="D36" s="25"/>
      <c r="E36" s="27"/>
      <c r="F36" s="39">
        <v>3244</v>
      </c>
      <c r="G36" s="29">
        <v>0</v>
      </c>
      <c r="H36" s="29">
        <v>3244</v>
      </c>
      <c r="I36" s="30"/>
      <c r="J36" s="31"/>
      <c r="K36" s="31"/>
      <c r="L36" s="31"/>
      <c r="M36" s="31"/>
      <c r="N36" s="32"/>
      <c r="O36" s="31"/>
      <c r="P36" s="31"/>
      <c r="Q36" s="31"/>
      <c r="R36" s="31"/>
      <c r="S36" s="31"/>
      <c r="T36" s="33"/>
      <c r="U36" s="29">
        <f>-IF(S36&gt;0,0,S36)</f>
        <v>0</v>
      </c>
      <c r="V36" s="34">
        <v>123.76</v>
      </c>
      <c r="W36" s="35">
        <v>0</v>
      </c>
      <c r="X36" s="29">
        <f>SUM(V36:W36)</f>
        <v>123.76</v>
      </c>
      <c r="Y36" s="89">
        <f>H36+U36-X36</f>
        <v>3120.24</v>
      </c>
    </row>
    <row r="37" spans="1:25" s="19" customFormat="1" x14ac:dyDescent="0.25">
      <c r="A37" s="88"/>
      <c r="B37" s="40" t="s">
        <v>147</v>
      </c>
      <c r="C37" s="26"/>
      <c r="D37" s="25"/>
      <c r="E37" s="27"/>
      <c r="F37" s="39"/>
      <c r="G37" s="29"/>
      <c r="H37" s="29"/>
      <c r="I37" s="30"/>
      <c r="J37" s="31"/>
      <c r="K37" s="31"/>
      <c r="L37" s="31"/>
      <c r="M37" s="31"/>
      <c r="N37" s="32"/>
      <c r="O37" s="31"/>
      <c r="P37" s="31"/>
      <c r="Q37" s="31"/>
      <c r="R37" s="31"/>
      <c r="S37" s="31"/>
      <c r="T37" s="33"/>
      <c r="U37" s="29"/>
      <c r="V37" s="34"/>
      <c r="W37" s="35"/>
      <c r="X37" s="29"/>
      <c r="Y37" s="89"/>
    </row>
    <row r="38" spans="1:25" s="19" customFormat="1" x14ac:dyDescent="0.25">
      <c r="A38" s="88">
        <v>23</v>
      </c>
      <c r="B38" s="26" t="s">
        <v>148</v>
      </c>
      <c r="C38" s="26" t="s">
        <v>149</v>
      </c>
      <c r="D38" s="25">
        <v>15</v>
      </c>
      <c r="E38" s="27">
        <f t="shared" si="12"/>
        <v>171.66666666666666</v>
      </c>
      <c r="F38" s="39">
        <v>2575</v>
      </c>
      <c r="G38" s="29">
        <v>0</v>
      </c>
      <c r="H38" s="29">
        <f t="shared" si="13"/>
        <v>2575</v>
      </c>
      <c r="I38" s="30"/>
      <c r="J38" s="31">
        <v>0</v>
      </c>
      <c r="K38" s="31">
        <f>H38+J38</f>
        <v>2575</v>
      </c>
      <c r="L38" s="31">
        <f>VLOOKUP(K38,Tarifa1,1)</f>
        <v>2077.5100000000002</v>
      </c>
      <c r="M38" s="31">
        <f>K38-L38</f>
        <v>497.48999999999978</v>
      </c>
      <c r="N38" s="32">
        <f>VLOOKUP(K38,Tarifa1,3)</f>
        <v>0.10879999999999999</v>
      </c>
      <c r="O38" s="31">
        <f>M38*N38</f>
        <v>54.126911999999976</v>
      </c>
      <c r="P38" s="31">
        <f>VLOOKUP(K38,Tarifa1,2)</f>
        <v>121.95</v>
      </c>
      <c r="Q38" s="31">
        <f>O38+P38</f>
        <v>176.07691199999999</v>
      </c>
      <c r="R38" s="31">
        <f>VLOOKUP(K38,Credito1,2)</f>
        <v>160.35</v>
      </c>
      <c r="S38" s="31">
        <f>Q38-R38</f>
        <v>15.726911999999999</v>
      </c>
      <c r="T38" s="33"/>
      <c r="U38" s="29">
        <f>-IF(S38&gt;0,0,S38)</f>
        <v>0</v>
      </c>
      <c r="V38" s="34">
        <f>IF(S38&lt;0,0,S38)</f>
        <v>15.726911999999999</v>
      </c>
      <c r="W38" s="35">
        <v>0</v>
      </c>
      <c r="X38" s="29">
        <f>SUM(V38:W38)</f>
        <v>15.726911999999999</v>
      </c>
      <c r="Y38" s="89">
        <f>H38+U38-X38</f>
        <v>2559.2730879999999</v>
      </c>
    </row>
    <row r="39" spans="1:25" s="19" customFormat="1" ht="26.25" x14ac:dyDescent="0.25">
      <c r="A39" s="88"/>
      <c r="B39" s="40" t="s">
        <v>150</v>
      </c>
      <c r="C39" s="26"/>
      <c r="D39" s="25"/>
      <c r="E39" s="27"/>
      <c r="F39" s="39"/>
      <c r="G39" s="29"/>
      <c r="H39" s="29"/>
      <c r="I39" s="30"/>
      <c r="J39" s="31"/>
      <c r="K39" s="31"/>
      <c r="L39" s="31"/>
      <c r="M39" s="31"/>
      <c r="N39" s="32"/>
      <c r="O39" s="31"/>
      <c r="P39" s="31"/>
      <c r="Q39" s="31"/>
      <c r="R39" s="31"/>
      <c r="S39" s="31"/>
      <c r="T39" s="33"/>
      <c r="U39" s="29"/>
      <c r="V39" s="34"/>
      <c r="W39" s="35"/>
      <c r="X39" s="29"/>
      <c r="Y39" s="89"/>
    </row>
    <row r="40" spans="1:25" s="19" customFormat="1" x14ac:dyDescent="0.25">
      <c r="A40" s="88">
        <v>24</v>
      </c>
      <c r="B40" s="26" t="s">
        <v>151</v>
      </c>
      <c r="C40" s="26" t="s">
        <v>152</v>
      </c>
      <c r="D40" s="25">
        <v>15</v>
      </c>
      <c r="E40" s="27">
        <f t="shared" si="12"/>
        <v>222.73333333333332</v>
      </c>
      <c r="F40" s="39">
        <v>3341</v>
      </c>
      <c r="G40" s="29">
        <v>0</v>
      </c>
      <c r="H40" s="29">
        <f t="shared" si="13"/>
        <v>3341</v>
      </c>
      <c r="I40" s="30"/>
      <c r="J40" s="31">
        <v>0</v>
      </c>
      <c r="K40" s="31">
        <f>H40+J40</f>
        <v>3341</v>
      </c>
      <c r="L40" s="31">
        <f>VLOOKUP(K40,Tarifa1,1)</f>
        <v>2077.5100000000002</v>
      </c>
      <c r="M40" s="31">
        <f>K40-L40</f>
        <v>1263.4899999999998</v>
      </c>
      <c r="N40" s="32">
        <f>VLOOKUP(K40,Tarifa1,3)</f>
        <v>0.10879999999999999</v>
      </c>
      <c r="O40" s="31">
        <f>M40*N40</f>
        <v>137.46771199999998</v>
      </c>
      <c r="P40" s="31">
        <f>VLOOKUP(K40,Tarifa1,2)</f>
        <v>121.95</v>
      </c>
      <c r="Q40" s="31">
        <f>O40+P40</f>
        <v>259.41771199999999</v>
      </c>
      <c r="R40" s="31">
        <f>VLOOKUP(K40,Credito1,2)</f>
        <v>125.1</v>
      </c>
      <c r="S40" s="31">
        <f>Q40-R40</f>
        <v>134.317712</v>
      </c>
      <c r="T40" s="33"/>
      <c r="U40" s="29">
        <f>-IF(S40&gt;0,0,S40)</f>
        <v>0</v>
      </c>
      <c r="V40" s="34">
        <f>IF(S40&lt;0,0,S40)</f>
        <v>134.317712</v>
      </c>
      <c r="W40" s="35">
        <v>0</v>
      </c>
      <c r="X40" s="29">
        <f>SUM(V40:W40)</f>
        <v>134.317712</v>
      </c>
      <c r="Y40" s="89">
        <f>H40+U40-X40</f>
        <v>3206.682288</v>
      </c>
    </row>
    <row r="41" spans="1:25" s="19" customFormat="1" x14ac:dyDescent="0.25">
      <c r="A41" s="88">
        <v>25</v>
      </c>
      <c r="B41" s="26" t="s">
        <v>153</v>
      </c>
      <c r="C41" s="26" t="s">
        <v>154</v>
      </c>
      <c r="D41" s="25">
        <v>15</v>
      </c>
      <c r="E41" s="27">
        <f t="shared" si="12"/>
        <v>242.52799999999999</v>
      </c>
      <c r="F41" s="39">
        <v>3637.92</v>
      </c>
      <c r="G41" s="29">
        <v>0</v>
      </c>
      <c r="H41" s="29">
        <f t="shared" si="13"/>
        <v>3637.92</v>
      </c>
      <c r="I41" s="30"/>
      <c r="J41" s="31">
        <v>0</v>
      </c>
      <c r="K41" s="31">
        <f>H41+J41</f>
        <v>3637.92</v>
      </c>
      <c r="L41" s="31">
        <f>VLOOKUP(K41,Tarifa1,1)</f>
        <v>2077.5100000000002</v>
      </c>
      <c r="M41" s="31">
        <f>K41-L41</f>
        <v>1560.4099999999999</v>
      </c>
      <c r="N41" s="32">
        <f>VLOOKUP(K41,Tarifa1,3)</f>
        <v>0.10879999999999999</v>
      </c>
      <c r="O41" s="31">
        <f>M41*N41</f>
        <v>169.77260799999996</v>
      </c>
      <c r="P41" s="31">
        <f>VLOOKUP(K41,Tarifa1,2)</f>
        <v>121.95</v>
      </c>
      <c r="Q41" s="31">
        <f>O41+P41</f>
        <v>291.72260799999998</v>
      </c>
      <c r="R41" s="31">
        <f>VLOOKUP(K41,Credito1,2)</f>
        <v>107.4</v>
      </c>
      <c r="S41" s="31">
        <f>Q41-R41</f>
        <v>184.32260799999997</v>
      </c>
      <c r="T41" s="33"/>
      <c r="U41" s="29">
        <f>-IF(S41&gt;0,0,S41)</f>
        <v>0</v>
      </c>
      <c r="V41" s="34">
        <f>IF(S41&lt;0,0,S41)</f>
        <v>184.32260799999997</v>
      </c>
      <c r="W41" s="35">
        <v>0</v>
      </c>
      <c r="X41" s="29">
        <f>SUM(V41:W41)</f>
        <v>184.32260799999997</v>
      </c>
      <c r="Y41" s="89">
        <f>H41+U41-X41</f>
        <v>3453.5973920000001</v>
      </c>
    </row>
    <row r="42" spans="1:25" s="19" customFormat="1" x14ac:dyDescent="0.25">
      <c r="A42" s="88"/>
      <c r="B42" s="40" t="s">
        <v>155</v>
      </c>
      <c r="C42" s="26"/>
      <c r="D42" s="25"/>
      <c r="E42" s="27"/>
      <c r="F42" s="39"/>
      <c r="G42" s="29"/>
      <c r="H42" s="29"/>
      <c r="I42" s="30"/>
      <c r="J42" s="31"/>
      <c r="K42" s="31"/>
      <c r="L42" s="31"/>
      <c r="M42" s="31"/>
      <c r="N42" s="32"/>
      <c r="O42" s="31"/>
      <c r="P42" s="31"/>
      <c r="Q42" s="31"/>
      <c r="R42" s="31"/>
      <c r="S42" s="31"/>
      <c r="T42" s="33"/>
      <c r="U42" s="29"/>
      <c r="V42" s="34"/>
      <c r="W42" s="35"/>
      <c r="X42" s="29"/>
      <c r="Y42" s="89"/>
    </row>
    <row r="43" spans="1:25" s="19" customFormat="1" x14ac:dyDescent="0.25">
      <c r="A43" s="88">
        <v>26</v>
      </c>
      <c r="B43" s="26" t="s">
        <v>156</v>
      </c>
      <c r="C43" s="26" t="s">
        <v>157</v>
      </c>
      <c r="D43" s="25">
        <v>15</v>
      </c>
      <c r="E43" s="27">
        <f t="shared" si="12"/>
        <v>216.26666666666668</v>
      </c>
      <c r="F43" s="39">
        <v>3244</v>
      </c>
      <c r="G43" s="29">
        <v>0</v>
      </c>
      <c r="H43" s="29">
        <f t="shared" si="13"/>
        <v>3244</v>
      </c>
      <c r="I43" s="30"/>
      <c r="J43" s="31">
        <v>0</v>
      </c>
      <c r="K43" s="31">
        <f>H43+J43</f>
        <v>3244</v>
      </c>
      <c r="L43" s="31">
        <f>VLOOKUP(K43,Tarifa1,1)</f>
        <v>2077.5100000000002</v>
      </c>
      <c r="M43" s="31">
        <f>K43-L43</f>
        <v>1166.4899999999998</v>
      </c>
      <c r="N43" s="32">
        <f>VLOOKUP(K43,Tarifa1,3)</f>
        <v>0.10879999999999999</v>
      </c>
      <c r="O43" s="31">
        <f>M43*N43</f>
        <v>126.91411199999997</v>
      </c>
      <c r="P43" s="31">
        <f>VLOOKUP(K43,Tarifa1,2)</f>
        <v>121.95</v>
      </c>
      <c r="Q43" s="31">
        <f>O43+P43</f>
        <v>248.86411199999998</v>
      </c>
      <c r="R43" s="31">
        <f>VLOOKUP(K43,Credito1,2)</f>
        <v>125.1</v>
      </c>
      <c r="S43" s="31">
        <f>Q43-R43</f>
        <v>123.76411199999998</v>
      </c>
      <c r="T43" s="33"/>
      <c r="U43" s="29">
        <f>-IF(S43&gt;0,0,S43)</f>
        <v>0</v>
      </c>
      <c r="V43" s="34">
        <f>IF(S43&lt;0,0,S43)</f>
        <v>123.76411199999998</v>
      </c>
      <c r="W43" s="35">
        <v>0</v>
      </c>
      <c r="X43" s="29">
        <f>SUM(V43:W43)</f>
        <v>123.76411199999998</v>
      </c>
      <c r="Y43" s="89">
        <f>H43+U43-X43</f>
        <v>3120.2358880000002</v>
      </c>
    </row>
    <row r="44" spans="1:25" s="19" customFormat="1" x14ac:dyDescent="0.25">
      <c r="A44" s="88">
        <v>27</v>
      </c>
      <c r="B44" s="26" t="s">
        <v>158</v>
      </c>
      <c r="C44" s="26" t="s">
        <v>159</v>
      </c>
      <c r="D44" s="25">
        <v>15</v>
      </c>
      <c r="E44" s="27">
        <f>F44/15</f>
        <v>300</v>
      </c>
      <c r="F44" s="39">
        <v>4500</v>
      </c>
      <c r="G44" s="29">
        <v>0</v>
      </c>
      <c r="H44" s="29">
        <f>TRUNC(SUM(D44*E44)+G44,2)</f>
        <v>4500</v>
      </c>
      <c r="I44" s="30"/>
      <c r="J44" s="31">
        <v>0</v>
      </c>
      <c r="K44" s="31">
        <f>H44+J44</f>
        <v>4500</v>
      </c>
      <c r="L44" s="31">
        <f>VLOOKUP(K44,Tarifa1,1)</f>
        <v>4244.1099999999997</v>
      </c>
      <c r="M44" s="31">
        <f>K44-L44</f>
        <v>255.89000000000033</v>
      </c>
      <c r="N44" s="32">
        <f>VLOOKUP(K44,Tarifa1,3)</f>
        <v>0.1792</v>
      </c>
      <c r="O44" s="31">
        <f>M44*N44</f>
        <v>45.855488000000058</v>
      </c>
      <c r="P44" s="31">
        <f>VLOOKUP(K44,Tarifa1,2)</f>
        <v>388.05</v>
      </c>
      <c r="Q44" s="31">
        <f>O44+P44</f>
        <v>433.90548800000005</v>
      </c>
      <c r="R44" s="31">
        <f>VLOOKUP(K44,Credito1,2)</f>
        <v>0</v>
      </c>
      <c r="S44" s="31">
        <f>Q44-R44</f>
        <v>433.90548800000005</v>
      </c>
      <c r="T44" s="33"/>
      <c r="U44" s="29">
        <f>-IF(S44&gt;0,0,S44)</f>
        <v>0</v>
      </c>
      <c r="V44" s="34">
        <f>IF(S44&lt;0,0,S44)</f>
        <v>433.90548800000005</v>
      </c>
      <c r="W44" s="35">
        <v>0</v>
      </c>
      <c r="X44" s="29">
        <f>SUM(V44:W44)</f>
        <v>433.90548800000005</v>
      </c>
      <c r="Y44" s="89">
        <f>H44+U44-X44</f>
        <v>4066.0945120000001</v>
      </c>
    </row>
    <row r="45" spans="1:25" s="19" customFormat="1" ht="26.25" x14ac:dyDescent="0.25">
      <c r="A45" s="88">
        <v>28</v>
      </c>
      <c r="B45" s="45" t="s">
        <v>160</v>
      </c>
      <c r="C45" s="45" t="s">
        <v>161</v>
      </c>
      <c r="D45" s="25">
        <v>15</v>
      </c>
      <c r="E45" s="27">
        <f>F45/15</f>
        <v>167.26666666666668</v>
      </c>
      <c r="F45" s="46">
        <v>2509</v>
      </c>
      <c r="G45" s="29">
        <v>0</v>
      </c>
      <c r="H45" s="29">
        <f>TRUNC(SUM(D45*E45)+G45,2)</f>
        <v>2509</v>
      </c>
      <c r="I45" s="30"/>
      <c r="J45" s="31">
        <v>0</v>
      </c>
      <c r="K45" s="31">
        <f>H45+J45</f>
        <v>2509</v>
      </c>
      <c r="L45" s="31">
        <f>VLOOKUP(K45,Tarifa1,1)</f>
        <v>2077.5100000000002</v>
      </c>
      <c r="M45" s="31">
        <f>K45-L45</f>
        <v>431.48999999999978</v>
      </c>
      <c r="N45" s="32">
        <f>VLOOKUP(K45,Tarifa1,3)</f>
        <v>0.10879999999999999</v>
      </c>
      <c r="O45" s="31">
        <f>M45*N45</f>
        <v>46.946111999999971</v>
      </c>
      <c r="P45" s="31">
        <f>VLOOKUP(K45,Tarifa1,2)</f>
        <v>121.95</v>
      </c>
      <c r="Q45" s="31">
        <f>O45+P45</f>
        <v>168.89611199999996</v>
      </c>
      <c r="R45" s="31">
        <f>VLOOKUP(K45,Credito1,2)</f>
        <v>160.35</v>
      </c>
      <c r="S45" s="31">
        <f>Q45-R45</f>
        <v>8.5461119999999653</v>
      </c>
      <c r="T45" s="33"/>
      <c r="U45" s="29">
        <f>-IF(S45&gt;0,0,S45)</f>
        <v>0</v>
      </c>
      <c r="V45" s="34">
        <f>IF(S45&lt;0,0,S45)</f>
        <v>8.5461119999999653</v>
      </c>
      <c r="W45" s="35">
        <v>0</v>
      </c>
      <c r="X45" s="29">
        <f>SUM(V45:W45)</f>
        <v>8.5461119999999653</v>
      </c>
      <c r="Y45" s="89">
        <f>H45+U45-X45</f>
        <v>2500.453888</v>
      </c>
    </row>
    <row r="46" spans="1:25" s="19" customFormat="1" x14ac:dyDescent="0.25">
      <c r="A46" s="88"/>
      <c r="B46" s="40" t="s">
        <v>162</v>
      </c>
      <c r="C46" s="26"/>
      <c r="D46" s="25"/>
      <c r="E46" s="27"/>
      <c r="F46" s="39"/>
      <c r="G46" s="29"/>
      <c r="H46" s="29"/>
      <c r="I46" s="30"/>
      <c r="J46" s="31"/>
      <c r="K46" s="31"/>
      <c r="L46" s="31"/>
      <c r="M46" s="31"/>
      <c r="N46" s="32"/>
      <c r="O46" s="31"/>
      <c r="P46" s="31"/>
      <c r="Q46" s="31"/>
      <c r="R46" s="31"/>
      <c r="S46" s="31"/>
      <c r="T46" s="33"/>
      <c r="U46" s="29"/>
      <c r="V46" s="34"/>
      <c r="W46" s="35"/>
      <c r="X46" s="29"/>
      <c r="Y46" s="89"/>
    </row>
    <row r="47" spans="1:25" s="19" customFormat="1" x14ac:dyDescent="0.25">
      <c r="A47" s="88">
        <v>29</v>
      </c>
      <c r="B47" s="26" t="s">
        <v>163</v>
      </c>
      <c r="C47" s="26" t="s">
        <v>164</v>
      </c>
      <c r="D47" s="25">
        <v>15</v>
      </c>
      <c r="E47" s="27">
        <f>F47/15</f>
        <v>823.93333333333328</v>
      </c>
      <c r="F47" s="39">
        <v>12359</v>
      </c>
      <c r="G47" s="29">
        <v>0</v>
      </c>
      <c r="H47" s="29">
        <f>TRUNC(SUM(D47*E47)+G47,2)</f>
        <v>12359</v>
      </c>
      <c r="I47" s="30"/>
      <c r="J47" s="31">
        <v>0</v>
      </c>
      <c r="K47" s="31">
        <f>H47+J47</f>
        <v>12359</v>
      </c>
      <c r="L47" s="31">
        <f>VLOOKUP(K47,Tarifa1,1)</f>
        <v>10248.459999999999</v>
      </c>
      <c r="M47" s="31">
        <f>K47-L47</f>
        <v>2110.5400000000009</v>
      </c>
      <c r="N47" s="32">
        <f>VLOOKUP(K47,Tarifa1,3)</f>
        <v>0.23519999999999999</v>
      </c>
      <c r="O47" s="31">
        <f>M47*N47</f>
        <v>496.39900800000021</v>
      </c>
      <c r="P47" s="31">
        <f>VLOOKUP(K47,Tarifa1,2)</f>
        <v>1641.75</v>
      </c>
      <c r="Q47" s="31">
        <f>O47+P47</f>
        <v>2138.1490080000003</v>
      </c>
      <c r="R47" s="31">
        <f>VLOOKUP(K47,Credito1,2)</f>
        <v>0</v>
      </c>
      <c r="S47" s="31">
        <f>Q47-R47</f>
        <v>2138.1490080000003</v>
      </c>
      <c r="T47" s="33"/>
      <c r="U47" s="29">
        <f>-IF(S47&gt;0,0,S47)</f>
        <v>0</v>
      </c>
      <c r="V47" s="34">
        <f>IF(S47&lt;0,0,S47)</f>
        <v>2138.1490080000003</v>
      </c>
      <c r="W47" s="35">
        <v>0</v>
      </c>
      <c r="X47" s="29">
        <f>SUM(V47:W47)</f>
        <v>2138.1490080000003</v>
      </c>
      <c r="Y47" s="89">
        <f>H47+U47-X47</f>
        <v>10220.850992</v>
      </c>
    </row>
    <row r="48" spans="1:25" s="19" customFormat="1" x14ac:dyDescent="0.25">
      <c r="A48" s="88">
        <v>30</v>
      </c>
      <c r="B48" s="26" t="s">
        <v>165</v>
      </c>
      <c r="C48" s="26" t="s">
        <v>67</v>
      </c>
      <c r="D48" s="25">
        <v>15</v>
      </c>
      <c r="E48" s="27">
        <f>F48/15</f>
        <v>221.86666666666667</v>
      </c>
      <c r="F48" s="39">
        <v>3328</v>
      </c>
      <c r="G48" s="29">
        <v>0</v>
      </c>
      <c r="H48" s="29">
        <f>TRUNC(SUM(D48*E48)+G48,2)</f>
        <v>3328</v>
      </c>
      <c r="I48" s="30"/>
      <c r="J48" s="31">
        <v>0</v>
      </c>
      <c r="K48" s="31">
        <f>H48+J48</f>
        <v>3328</v>
      </c>
      <c r="L48" s="31">
        <f>VLOOKUP(K48,Tarifa1,1)</f>
        <v>2077.5100000000002</v>
      </c>
      <c r="M48" s="31">
        <f>K48-L48</f>
        <v>1250.4899999999998</v>
      </c>
      <c r="N48" s="32">
        <f>VLOOKUP(K48,Tarifa1,3)</f>
        <v>0.10879999999999999</v>
      </c>
      <c r="O48" s="31">
        <f>M48*N48</f>
        <v>136.05331199999998</v>
      </c>
      <c r="P48" s="31">
        <f>VLOOKUP(K48,Tarifa1,2)</f>
        <v>121.95</v>
      </c>
      <c r="Q48" s="31">
        <f>O48+P48</f>
        <v>258.00331199999999</v>
      </c>
      <c r="R48" s="31">
        <f>VLOOKUP(K48,Credito1,2)</f>
        <v>125.1</v>
      </c>
      <c r="S48" s="31">
        <f>Q48-R48</f>
        <v>132.903312</v>
      </c>
      <c r="T48" s="33"/>
      <c r="U48" s="29">
        <f>-IF(S48&gt;0,0,S48)</f>
        <v>0</v>
      </c>
      <c r="V48" s="34">
        <f>IF(S48&lt;0,0,S48)</f>
        <v>132.903312</v>
      </c>
      <c r="W48" s="35">
        <v>0</v>
      </c>
      <c r="X48" s="29">
        <f>SUM(V48:W48)</f>
        <v>132.903312</v>
      </c>
      <c r="Y48" s="89">
        <f>H48+U48-X48</f>
        <v>3195.0966880000001</v>
      </c>
    </row>
    <row r="49" spans="1:25" s="19" customFormat="1" x14ac:dyDescent="0.25">
      <c r="A49" s="88">
        <v>31</v>
      </c>
      <c r="B49" s="44" t="s">
        <v>166</v>
      </c>
      <c r="C49" s="26" t="s">
        <v>67</v>
      </c>
      <c r="D49" s="25">
        <v>15</v>
      </c>
      <c r="E49" s="27">
        <f>F49/15</f>
        <v>171.66666666666666</v>
      </c>
      <c r="F49" s="28">
        <v>2575</v>
      </c>
      <c r="G49" s="42">
        <v>0</v>
      </c>
      <c r="H49" s="47">
        <f>TRUNC(SUM(D49*E49)+G49,2)</f>
        <v>2575</v>
      </c>
      <c r="I49" s="48"/>
      <c r="J49" s="49">
        <v>0</v>
      </c>
      <c r="K49" s="49">
        <f>H49+J49</f>
        <v>2575</v>
      </c>
      <c r="L49" s="49">
        <f>VLOOKUP(K49,Tarifa1,1)</f>
        <v>2077.5100000000002</v>
      </c>
      <c r="M49" s="49">
        <f>K49-L49</f>
        <v>497.48999999999978</v>
      </c>
      <c r="N49" s="50">
        <f>VLOOKUP(K49,Tarifa1,3)</f>
        <v>0.10879999999999999</v>
      </c>
      <c r="O49" s="49">
        <f>M49*N49</f>
        <v>54.126911999999976</v>
      </c>
      <c r="P49" s="49">
        <f>VLOOKUP(K49,Tarifa1,2)</f>
        <v>121.95</v>
      </c>
      <c r="Q49" s="49">
        <f>O49+P49</f>
        <v>176.07691199999999</v>
      </c>
      <c r="R49" s="49">
        <f>VLOOKUP(K49,Credito1,2)</f>
        <v>160.35</v>
      </c>
      <c r="S49" s="49">
        <f>Q49-R49</f>
        <v>15.726911999999999</v>
      </c>
      <c r="T49" s="51"/>
      <c r="U49" s="47">
        <f>-IF(S49&gt;0,0,S49)</f>
        <v>0</v>
      </c>
      <c r="V49" s="52">
        <f>IF(S49&lt;0,0,S49)</f>
        <v>15.726911999999999</v>
      </c>
      <c r="W49" s="53">
        <v>0</v>
      </c>
      <c r="X49" s="47">
        <f>SUM(V49:W49)</f>
        <v>15.726911999999999</v>
      </c>
      <c r="Y49" s="94">
        <f>H49+U49-X49</f>
        <v>2559.2730879999999</v>
      </c>
    </row>
    <row r="50" spans="1:25" s="19" customFormat="1" x14ac:dyDescent="0.25">
      <c r="A50" s="88"/>
      <c r="B50" s="40" t="s">
        <v>167</v>
      </c>
      <c r="C50" s="26"/>
      <c r="D50" s="25"/>
      <c r="E50" s="27"/>
      <c r="F50" s="39"/>
      <c r="G50" s="29"/>
      <c r="H50" s="29"/>
      <c r="I50" s="30"/>
      <c r="J50" s="31"/>
      <c r="K50" s="31"/>
      <c r="L50" s="31"/>
      <c r="M50" s="31"/>
      <c r="N50" s="32"/>
      <c r="O50" s="31"/>
      <c r="P50" s="31"/>
      <c r="Q50" s="31"/>
      <c r="R50" s="31"/>
      <c r="S50" s="31"/>
      <c r="T50" s="33"/>
      <c r="U50" s="29"/>
      <c r="V50" s="34"/>
      <c r="W50" s="35"/>
      <c r="X50" s="29"/>
      <c r="Y50" s="89"/>
    </row>
    <row r="51" spans="1:25" s="19" customFormat="1" x14ac:dyDescent="0.25">
      <c r="A51" s="88"/>
      <c r="B51" s="26"/>
      <c r="C51" s="26"/>
      <c r="D51" s="25"/>
      <c r="E51" s="27"/>
      <c r="F51" s="39"/>
      <c r="G51" s="29"/>
      <c r="H51" s="29"/>
      <c r="I51" s="30"/>
      <c r="J51" s="31"/>
      <c r="K51" s="31"/>
      <c r="L51" s="31"/>
      <c r="M51" s="31"/>
      <c r="N51" s="32"/>
      <c r="O51" s="31"/>
      <c r="P51" s="31"/>
      <c r="Q51" s="31"/>
      <c r="R51" s="31"/>
      <c r="S51" s="31"/>
      <c r="T51" s="33"/>
      <c r="U51" s="29"/>
      <c r="V51" s="34"/>
      <c r="W51" s="35"/>
      <c r="X51" s="29"/>
      <c r="Y51" s="89"/>
    </row>
    <row r="52" spans="1:25" s="19" customFormat="1" x14ac:dyDescent="0.25">
      <c r="A52" s="88">
        <v>32</v>
      </c>
      <c r="B52" s="26" t="s">
        <v>168</v>
      </c>
      <c r="C52" s="26" t="s">
        <v>169</v>
      </c>
      <c r="D52" s="25">
        <v>15</v>
      </c>
      <c r="E52" s="27">
        <f>F52/15</f>
        <v>216.32000000000002</v>
      </c>
      <c r="F52" s="39">
        <v>3244.8</v>
      </c>
      <c r="G52" s="29">
        <v>0</v>
      </c>
      <c r="H52" s="29">
        <f>TRUNC(SUM(D52*E52)+G52,2)</f>
        <v>3244.8</v>
      </c>
      <c r="I52" s="30"/>
      <c r="J52" s="31">
        <v>0</v>
      </c>
      <c r="K52" s="31">
        <f>H52+J52</f>
        <v>3244.8</v>
      </c>
      <c r="L52" s="31">
        <f>VLOOKUP(K52,Tarifa1,1)</f>
        <v>2077.5100000000002</v>
      </c>
      <c r="M52" s="31">
        <f>K52-L52</f>
        <v>1167.29</v>
      </c>
      <c r="N52" s="32">
        <f>VLOOKUP(K52,Tarifa1,3)</f>
        <v>0.10879999999999999</v>
      </c>
      <c r="O52" s="31">
        <f>M52*N52</f>
        <v>127.00115199999999</v>
      </c>
      <c r="P52" s="31">
        <f>VLOOKUP(K52,Tarifa1,2)</f>
        <v>121.95</v>
      </c>
      <c r="Q52" s="31">
        <f>O52+P52</f>
        <v>248.95115199999998</v>
      </c>
      <c r="R52" s="31">
        <f>VLOOKUP(K52,Credito1,2)</f>
        <v>125.1</v>
      </c>
      <c r="S52" s="31">
        <f>Q52-R52</f>
        <v>123.85115199999998</v>
      </c>
      <c r="T52" s="33"/>
      <c r="U52" s="29">
        <f>-IF(S52&gt;0,0,S52)</f>
        <v>0</v>
      </c>
      <c r="V52" s="34">
        <f>IF(S52&lt;0,0,S52)</f>
        <v>123.85115199999998</v>
      </c>
      <c r="W52" s="35">
        <v>0</v>
      </c>
      <c r="X52" s="29">
        <f>SUM(V52:W52)</f>
        <v>123.85115199999998</v>
      </c>
      <c r="Y52" s="89">
        <f>H52+U52-X52</f>
        <v>3120.948848</v>
      </c>
    </row>
    <row r="53" spans="1:25" s="19" customFormat="1" x14ac:dyDescent="0.25">
      <c r="A53" s="88"/>
      <c r="B53" s="40" t="s">
        <v>170</v>
      </c>
      <c r="C53" s="26"/>
      <c r="D53" s="25"/>
      <c r="E53" s="27"/>
      <c r="F53" s="39"/>
      <c r="G53" s="29"/>
      <c r="H53" s="29"/>
      <c r="I53" s="30"/>
      <c r="J53" s="31"/>
      <c r="K53" s="31"/>
      <c r="L53" s="31"/>
      <c r="M53" s="31"/>
      <c r="N53" s="32"/>
      <c r="O53" s="31"/>
      <c r="P53" s="31"/>
      <c r="Q53" s="31"/>
      <c r="R53" s="31"/>
      <c r="S53" s="31"/>
      <c r="T53" s="33"/>
      <c r="U53" s="29"/>
      <c r="V53" s="34"/>
      <c r="W53" s="35"/>
      <c r="X53" s="29"/>
      <c r="Y53" s="89"/>
    </row>
    <row r="54" spans="1:25" s="19" customFormat="1" ht="26.25" x14ac:dyDescent="0.25">
      <c r="A54" s="88">
        <v>33</v>
      </c>
      <c r="B54" s="26" t="s">
        <v>171</v>
      </c>
      <c r="C54" s="26" t="s">
        <v>67</v>
      </c>
      <c r="D54" s="25">
        <v>15</v>
      </c>
      <c r="E54" s="27">
        <f>F54/15</f>
        <v>221.86666666666667</v>
      </c>
      <c r="F54" s="39">
        <v>3328</v>
      </c>
      <c r="G54" s="29">
        <v>0</v>
      </c>
      <c r="H54" s="29">
        <f>TRUNC(SUM(D54*E54)+G54,2)</f>
        <v>3328</v>
      </c>
      <c r="I54" s="30"/>
      <c r="J54" s="31">
        <v>0</v>
      </c>
      <c r="K54" s="31">
        <f>H54+J54</f>
        <v>3328</v>
      </c>
      <c r="L54" s="31">
        <f>VLOOKUP(K54,Tarifa1,1)</f>
        <v>2077.5100000000002</v>
      </c>
      <c r="M54" s="31">
        <f>K54-L54</f>
        <v>1250.4899999999998</v>
      </c>
      <c r="N54" s="32">
        <f>VLOOKUP(K54,Tarifa1,3)</f>
        <v>0.10879999999999999</v>
      </c>
      <c r="O54" s="31">
        <f>M54*N54</f>
        <v>136.05331199999998</v>
      </c>
      <c r="P54" s="31">
        <f>VLOOKUP(K54,Tarifa1,2)</f>
        <v>121.95</v>
      </c>
      <c r="Q54" s="31">
        <f>O54+P54</f>
        <v>258.00331199999999</v>
      </c>
      <c r="R54" s="31">
        <f>VLOOKUP(K54,Credito1,2)</f>
        <v>125.1</v>
      </c>
      <c r="S54" s="31">
        <f>Q54-R54</f>
        <v>132.903312</v>
      </c>
      <c r="T54" s="33"/>
      <c r="U54" s="29">
        <f>-IF(S54&gt;0,0,S54)</f>
        <v>0</v>
      </c>
      <c r="V54" s="34">
        <f>IF(S54&lt;0,0,S54)</f>
        <v>132.903312</v>
      </c>
      <c r="W54" s="35">
        <v>0</v>
      </c>
      <c r="X54" s="29">
        <f>SUM(V54:W54)</f>
        <v>132.903312</v>
      </c>
      <c r="Y54" s="89">
        <f>H54+U54-X54</f>
        <v>3195.0966880000001</v>
      </c>
    </row>
    <row r="55" spans="1:25" s="19" customFormat="1" x14ac:dyDescent="0.25">
      <c r="A55" s="88"/>
      <c r="B55" s="40" t="s">
        <v>172</v>
      </c>
      <c r="C55" s="26"/>
      <c r="D55" s="25"/>
      <c r="E55" s="27"/>
      <c r="F55" s="39"/>
      <c r="G55" s="29"/>
      <c r="H55" s="29"/>
      <c r="I55" s="30"/>
      <c r="J55" s="31"/>
      <c r="K55" s="31"/>
      <c r="L55" s="31"/>
      <c r="M55" s="31"/>
      <c r="N55" s="32"/>
      <c r="O55" s="31"/>
      <c r="P55" s="31"/>
      <c r="Q55" s="31"/>
      <c r="R55" s="31"/>
      <c r="S55" s="31"/>
      <c r="T55" s="33"/>
      <c r="U55" s="29"/>
      <c r="V55" s="34"/>
      <c r="W55" s="35"/>
      <c r="X55" s="29"/>
      <c r="Y55" s="89"/>
    </row>
    <row r="56" spans="1:25" s="19" customFormat="1" x14ac:dyDescent="0.25">
      <c r="A56" s="88">
        <v>34</v>
      </c>
      <c r="B56" s="26" t="s">
        <v>173</v>
      </c>
      <c r="C56" s="26" t="s">
        <v>174</v>
      </c>
      <c r="D56" s="25">
        <v>15</v>
      </c>
      <c r="E56" s="27">
        <f>F56/15</f>
        <v>440</v>
      </c>
      <c r="F56" s="39">
        <v>6600</v>
      </c>
      <c r="G56" s="29">
        <v>0</v>
      </c>
      <c r="H56" s="29">
        <f>TRUNC(SUM(D56*E56)+G56,2)</f>
        <v>6600</v>
      </c>
      <c r="I56" s="30"/>
      <c r="J56" s="31">
        <v>0</v>
      </c>
      <c r="K56" s="31">
        <f>H56+J56</f>
        <v>6600</v>
      </c>
      <c r="L56" s="31">
        <f>VLOOKUP(K56,Tarifa1,1)</f>
        <v>5081.41</v>
      </c>
      <c r="M56" s="31">
        <f>K56-L56</f>
        <v>1518.5900000000001</v>
      </c>
      <c r="N56" s="32">
        <f>VLOOKUP(K56,Tarifa1,3)</f>
        <v>0.21360000000000001</v>
      </c>
      <c r="O56" s="31">
        <f>M56*N56</f>
        <v>324.37082400000003</v>
      </c>
      <c r="P56" s="31">
        <f>VLOOKUP(K56,Tarifa1,2)</f>
        <v>538.20000000000005</v>
      </c>
      <c r="Q56" s="31">
        <f>O56+P56</f>
        <v>862.57082400000013</v>
      </c>
      <c r="R56" s="31">
        <f>VLOOKUP(K56,Credito1,2)</f>
        <v>0</v>
      </c>
      <c r="S56" s="31">
        <f>Q56-R56</f>
        <v>862.57082400000013</v>
      </c>
      <c r="T56" s="33"/>
      <c r="U56" s="29">
        <f>-IF(S56&gt;0,0,S56)</f>
        <v>0</v>
      </c>
      <c r="V56" s="34">
        <f>IF(S56&lt;0,0,S56)</f>
        <v>862.57082400000013</v>
      </c>
      <c r="W56" s="35">
        <v>0</v>
      </c>
      <c r="X56" s="29">
        <f>SUM(V56:W56)</f>
        <v>862.57082400000013</v>
      </c>
      <c r="Y56" s="89">
        <f>H56+U56-X56</f>
        <v>5737.4291759999996</v>
      </c>
    </row>
    <row r="57" spans="1:25" s="19" customFormat="1" x14ac:dyDescent="0.25">
      <c r="A57" s="88">
        <v>35</v>
      </c>
      <c r="B57" s="26" t="s">
        <v>175</v>
      </c>
      <c r="C57" s="26" t="s">
        <v>59</v>
      </c>
      <c r="D57" s="25">
        <v>15</v>
      </c>
      <c r="E57" s="27">
        <f>F57/15</f>
        <v>259.93333333333334</v>
      </c>
      <c r="F57" s="39">
        <v>3899</v>
      </c>
      <c r="G57" s="29">
        <v>0</v>
      </c>
      <c r="H57" s="29">
        <f>TRUNC(SUM(D57*E57)+G57,2)</f>
        <v>3899</v>
      </c>
      <c r="I57" s="30"/>
      <c r="J57" s="31">
        <v>0</v>
      </c>
      <c r="K57" s="31">
        <f>H57+J57</f>
        <v>3899</v>
      </c>
      <c r="L57" s="31">
        <f>VLOOKUP(K57,Tarifa1,1)</f>
        <v>3651.01</v>
      </c>
      <c r="M57" s="31">
        <f>K57-L57</f>
        <v>247.98999999999978</v>
      </c>
      <c r="N57" s="32">
        <f>VLOOKUP(K57,Tarifa1,3)</f>
        <v>0.16</v>
      </c>
      <c r="O57" s="31">
        <f>M57*N57</f>
        <v>39.678399999999968</v>
      </c>
      <c r="P57" s="31">
        <f>VLOOKUP(K57,Tarifa1,2)</f>
        <v>293.25</v>
      </c>
      <c r="Q57" s="31">
        <f>O57+P57</f>
        <v>332.92839999999995</v>
      </c>
      <c r="R57" s="31">
        <f>VLOOKUP(K57,Credito1,2)</f>
        <v>0</v>
      </c>
      <c r="S57" s="31">
        <f>Q57-R57</f>
        <v>332.92839999999995</v>
      </c>
      <c r="T57" s="33"/>
      <c r="U57" s="29">
        <f>-IF(S57&gt;0,0,S57)</f>
        <v>0</v>
      </c>
      <c r="V57" s="34">
        <f>IF(S57&lt;0,0,S57)</f>
        <v>332.92839999999995</v>
      </c>
      <c r="W57" s="35">
        <v>0</v>
      </c>
      <c r="X57" s="29">
        <f>SUM(V57:W57)</f>
        <v>332.92839999999995</v>
      </c>
      <c r="Y57" s="89">
        <f>H57+U57-X57</f>
        <v>3566.0716000000002</v>
      </c>
    </row>
    <row r="58" spans="1:25" s="19" customFormat="1" x14ac:dyDescent="0.25">
      <c r="A58" s="88">
        <v>36</v>
      </c>
      <c r="B58" s="26" t="s">
        <v>176</v>
      </c>
      <c r="C58" s="26" t="s">
        <v>59</v>
      </c>
      <c r="D58" s="25">
        <v>15</v>
      </c>
      <c r="E58" s="27">
        <f>F58/15</f>
        <v>214.53333333333333</v>
      </c>
      <c r="F58" s="39">
        <v>3218</v>
      </c>
      <c r="G58" s="29">
        <v>0</v>
      </c>
      <c r="H58" s="29">
        <f>TRUNC(SUM(D58*E58)+G58,2)</f>
        <v>3218</v>
      </c>
      <c r="I58" s="30"/>
      <c r="J58" s="31">
        <v>0</v>
      </c>
      <c r="K58" s="31">
        <f>H58+J58</f>
        <v>3218</v>
      </c>
      <c r="L58" s="31">
        <f>VLOOKUP(K58,Tarifa1,1)</f>
        <v>2077.5100000000002</v>
      </c>
      <c r="M58" s="31">
        <f>K58-L58</f>
        <v>1140.4899999999998</v>
      </c>
      <c r="N58" s="32">
        <f>VLOOKUP(K58,Tarifa1,3)</f>
        <v>0.10879999999999999</v>
      </c>
      <c r="O58" s="31">
        <f>M58*N58</f>
        <v>124.08531199999997</v>
      </c>
      <c r="P58" s="31">
        <f>VLOOKUP(K58,Tarifa1,2)</f>
        <v>121.95</v>
      </c>
      <c r="Q58" s="31">
        <f>O58+P58</f>
        <v>246.03531199999998</v>
      </c>
      <c r="R58" s="31">
        <f>VLOOKUP(K58,Credito1,2)</f>
        <v>125.1</v>
      </c>
      <c r="S58" s="31">
        <f>Q58-R58</f>
        <v>120.93531199999998</v>
      </c>
      <c r="T58" s="33"/>
      <c r="U58" s="29">
        <f>-IF(S58&gt;0,0,S58)</f>
        <v>0</v>
      </c>
      <c r="V58" s="34">
        <f>IF(S58&lt;0,0,S58)</f>
        <v>120.93531199999998</v>
      </c>
      <c r="W58" s="35">
        <v>0</v>
      </c>
      <c r="X58" s="29">
        <f>SUM(V58:W58)</f>
        <v>120.93531199999998</v>
      </c>
      <c r="Y58" s="89">
        <f>H58+U58-X58</f>
        <v>3097.0646879999999</v>
      </c>
    </row>
    <row r="59" spans="1:25" s="19" customFormat="1" x14ac:dyDescent="0.25">
      <c r="A59" s="88"/>
      <c r="B59" s="40" t="s">
        <v>177</v>
      </c>
      <c r="C59" s="26"/>
      <c r="D59" s="25"/>
      <c r="E59" s="27"/>
      <c r="F59" s="39"/>
      <c r="G59" s="29"/>
      <c r="H59" s="29"/>
      <c r="I59" s="30"/>
      <c r="J59" s="31"/>
      <c r="K59" s="31"/>
      <c r="L59" s="31"/>
      <c r="M59" s="31"/>
      <c r="N59" s="32"/>
      <c r="O59" s="31"/>
      <c r="P59" s="31"/>
      <c r="Q59" s="31"/>
      <c r="R59" s="31"/>
      <c r="S59" s="31"/>
      <c r="T59" s="33"/>
      <c r="U59" s="29"/>
      <c r="V59" s="34"/>
      <c r="W59" s="35"/>
      <c r="X59" s="29"/>
      <c r="Y59" s="89"/>
    </row>
    <row r="60" spans="1:25" s="19" customFormat="1" x14ac:dyDescent="0.25">
      <c r="A60" s="88">
        <v>37</v>
      </c>
      <c r="B60" s="26" t="s">
        <v>178</v>
      </c>
      <c r="C60" s="26" t="s">
        <v>179</v>
      </c>
      <c r="D60" s="25">
        <v>15</v>
      </c>
      <c r="E60" s="27">
        <f t="shared" ref="E60:E68" si="14">F60/15</f>
        <v>216.32000000000002</v>
      </c>
      <c r="F60" s="39">
        <v>3244.8</v>
      </c>
      <c r="G60" s="29">
        <v>0</v>
      </c>
      <c r="H60" s="29">
        <f t="shared" ref="H60:H65" si="15">TRUNC(SUM(D60*E60)+G60,2)</f>
        <v>3244.8</v>
      </c>
      <c r="I60" s="30"/>
      <c r="J60" s="31">
        <v>0</v>
      </c>
      <c r="K60" s="31">
        <f t="shared" ref="K60:K66" si="16">H60+J60</f>
        <v>3244.8</v>
      </c>
      <c r="L60" s="31">
        <f>VLOOKUP(K60,Tarifa1,1)</f>
        <v>2077.5100000000002</v>
      </c>
      <c r="M60" s="31">
        <f t="shared" ref="M60:M66" si="17">K60-L60</f>
        <v>1167.29</v>
      </c>
      <c r="N60" s="32">
        <f>VLOOKUP(K60,Tarifa1,3)</f>
        <v>0.10879999999999999</v>
      </c>
      <c r="O60" s="31">
        <f t="shared" ref="O60:O66" si="18">M60*N60</f>
        <v>127.00115199999999</v>
      </c>
      <c r="P60" s="31">
        <f>VLOOKUP(K60,Tarifa1,2)</f>
        <v>121.95</v>
      </c>
      <c r="Q60" s="31">
        <f t="shared" ref="Q60:Q66" si="19">O60+P60</f>
        <v>248.95115199999998</v>
      </c>
      <c r="R60" s="31">
        <f>VLOOKUP(K60,Credito1,2)</f>
        <v>125.1</v>
      </c>
      <c r="S60" s="31">
        <f t="shared" ref="S60:S66" si="20">Q60-R60</f>
        <v>123.85115199999998</v>
      </c>
      <c r="T60" s="33"/>
      <c r="U60" s="29">
        <f>-IF(S60&gt;0,0,S60)</f>
        <v>0</v>
      </c>
      <c r="V60" s="34">
        <f>IF(S60&lt;0,0,S60)</f>
        <v>123.85115199999998</v>
      </c>
      <c r="W60" s="35">
        <v>0</v>
      </c>
      <c r="X60" s="29">
        <f t="shared" ref="X60:X66" si="21">SUM(V60:W60)</f>
        <v>123.85115199999998</v>
      </c>
      <c r="Y60" s="89">
        <f>H60+U60-X60</f>
        <v>3120.948848</v>
      </c>
    </row>
    <row r="61" spans="1:25" s="19" customFormat="1" x14ac:dyDescent="0.25">
      <c r="A61" s="88">
        <v>38</v>
      </c>
      <c r="B61" s="26" t="s">
        <v>180</v>
      </c>
      <c r="C61" s="26" t="s">
        <v>72</v>
      </c>
      <c r="D61" s="25">
        <v>15</v>
      </c>
      <c r="E61" s="27">
        <f t="shared" si="14"/>
        <v>217</v>
      </c>
      <c r="F61" s="39">
        <v>3255</v>
      </c>
      <c r="G61" s="29">
        <v>0</v>
      </c>
      <c r="H61" s="29">
        <f t="shared" si="15"/>
        <v>3255</v>
      </c>
      <c r="I61" s="30"/>
      <c r="J61" s="31">
        <v>0</v>
      </c>
      <c r="K61" s="31">
        <f t="shared" si="16"/>
        <v>3255</v>
      </c>
      <c r="L61" s="31">
        <f>VLOOKUP(K61,Tarifa1,1)</f>
        <v>2077.5100000000002</v>
      </c>
      <c r="M61" s="31">
        <f t="shared" si="17"/>
        <v>1177.4899999999998</v>
      </c>
      <c r="N61" s="32">
        <f>VLOOKUP(K61,Tarifa1,3)</f>
        <v>0.10879999999999999</v>
      </c>
      <c r="O61" s="31">
        <f t="shared" si="18"/>
        <v>128.11091199999996</v>
      </c>
      <c r="P61" s="31">
        <f>VLOOKUP(K61,Tarifa1,2)</f>
        <v>121.95</v>
      </c>
      <c r="Q61" s="31">
        <f t="shared" si="19"/>
        <v>250.06091199999997</v>
      </c>
      <c r="R61" s="31">
        <f>VLOOKUP(K61,Credito1,2)</f>
        <v>125.1</v>
      </c>
      <c r="S61" s="31">
        <f t="shared" si="20"/>
        <v>124.96091199999998</v>
      </c>
      <c r="T61" s="33"/>
      <c r="U61" s="29">
        <f>-IF(S61&gt;0,0,S61)</f>
        <v>0</v>
      </c>
      <c r="V61" s="34">
        <f>IF(S61&lt;0,0,S61)</f>
        <v>124.96091199999998</v>
      </c>
      <c r="W61" s="35">
        <v>0</v>
      </c>
      <c r="X61" s="29">
        <f t="shared" si="21"/>
        <v>124.96091199999998</v>
      </c>
      <c r="Y61" s="89">
        <f>H61+U61-X61</f>
        <v>3130.039088</v>
      </c>
    </row>
    <row r="62" spans="1:25" s="19" customFormat="1" x14ac:dyDescent="0.25">
      <c r="A62" s="88">
        <v>39</v>
      </c>
      <c r="B62" s="26" t="s">
        <v>181</v>
      </c>
      <c r="C62" s="26" t="s">
        <v>72</v>
      </c>
      <c r="D62" s="25">
        <v>15</v>
      </c>
      <c r="E62" s="27">
        <f t="shared" si="14"/>
        <v>182.93333333333334</v>
      </c>
      <c r="F62" s="39">
        <v>2744</v>
      </c>
      <c r="G62" s="29">
        <v>0</v>
      </c>
      <c r="H62" s="29">
        <f t="shared" si="15"/>
        <v>2744</v>
      </c>
      <c r="I62" s="30"/>
      <c r="J62" s="31">
        <v>0</v>
      </c>
      <c r="K62" s="31">
        <f t="shared" si="16"/>
        <v>2744</v>
      </c>
      <c r="L62" s="31">
        <f>VLOOKUP(K62,Tarifa1,1)</f>
        <v>2077.5100000000002</v>
      </c>
      <c r="M62" s="31">
        <f t="shared" si="17"/>
        <v>666.48999999999978</v>
      </c>
      <c r="N62" s="32">
        <f>VLOOKUP(K62,Tarifa1,3)</f>
        <v>0.10879999999999999</v>
      </c>
      <c r="O62" s="31">
        <f t="shared" si="18"/>
        <v>72.514111999999969</v>
      </c>
      <c r="P62" s="31">
        <f>VLOOKUP(K62,Tarifa1,2)</f>
        <v>121.95</v>
      </c>
      <c r="Q62" s="31">
        <f t="shared" si="19"/>
        <v>194.46411199999997</v>
      </c>
      <c r="R62" s="31">
        <f>VLOOKUP(K62,Credito1,2)</f>
        <v>145.35</v>
      </c>
      <c r="S62" s="31">
        <f t="shared" si="20"/>
        <v>49.114111999999977</v>
      </c>
      <c r="T62" s="33"/>
      <c r="U62" s="29">
        <f>-IF(S62&gt;0,0,S62)</f>
        <v>0</v>
      </c>
      <c r="V62" s="34">
        <f>IF(S62&lt;0,0,S62)</f>
        <v>49.114111999999977</v>
      </c>
      <c r="W62" s="35">
        <v>0</v>
      </c>
      <c r="X62" s="29">
        <f t="shared" si="21"/>
        <v>49.114111999999977</v>
      </c>
      <c r="Y62" s="89">
        <f>H62+U62-X62</f>
        <v>2694.8858879999998</v>
      </c>
    </row>
    <row r="63" spans="1:25" s="19" customFormat="1" ht="26.25" x14ac:dyDescent="0.25">
      <c r="A63" s="88">
        <v>40</v>
      </c>
      <c r="B63" s="26" t="s">
        <v>182</v>
      </c>
      <c r="C63" s="26" t="s">
        <v>72</v>
      </c>
      <c r="D63" s="25">
        <v>15</v>
      </c>
      <c r="E63" s="27">
        <f t="shared" si="14"/>
        <v>140.33333333333334</v>
      </c>
      <c r="F63" s="39">
        <v>2105</v>
      </c>
      <c r="G63" s="29">
        <v>0</v>
      </c>
      <c r="H63" s="29">
        <f t="shared" si="15"/>
        <v>2105</v>
      </c>
      <c r="I63" s="30"/>
      <c r="J63" s="31">
        <v>0</v>
      </c>
      <c r="K63" s="31">
        <f t="shared" si="16"/>
        <v>2105</v>
      </c>
      <c r="L63" s="31">
        <f>VLOOKUP(K63,Tarifa1,1)</f>
        <v>2077.5100000000002</v>
      </c>
      <c r="M63" s="31">
        <f t="shared" si="17"/>
        <v>27.489999999999782</v>
      </c>
      <c r="N63" s="32">
        <f>VLOOKUP(K63,Tarifa1,3)</f>
        <v>0.10879999999999999</v>
      </c>
      <c r="O63" s="31">
        <f t="shared" si="18"/>
        <v>2.9909119999999763</v>
      </c>
      <c r="P63" s="31">
        <f>VLOOKUP(K63,Tarifa1,2)</f>
        <v>121.95</v>
      </c>
      <c r="Q63" s="31">
        <f t="shared" si="19"/>
        <v>124.94091199999998</v>
      </c>
      <c r="R63" s="31">
        <f>VLOOKUP(K63,Credito1,2)</f>
        <v>188.7</v>
      </c>
      <c r="S63" s="31">
        <f t="shared" si="20"/>
        <v>-63.759088000000006</v>
      </c>
      <c r="T63" s="33"/>
      <c r="U63" s="29">
        <f>-IF(S63&gt;0,0,S63)</f>
        <v>63.759088000000006</v>
      </c>
      <c r="V63" s="34">
        <f>IF(S63&lt;0,0,S63)</f>
        <v>0</v>
      </c>
      <c r="W63" s="35">
        <v>0</v>
      </c>
      <c r="X63" s="29">
        <f t="shared" si="21"/>
        <v>0</v>
      </c>
      <c r="Y63" s="89">
        <f>H63+U63-X63</f>
        <v>2168.7590879999998</v>
      </c>
    </row>
    <row r="64" spans="1:25" s="19" customFormat="1" x14ac:dyDescent="0.25">
      <c r="A64" s="88">
        <v>41</v>
      </c>
      <c r="B64" s="26" t="s">
        <v>183</v>
      </c>
      <c r="C64" s="26" t="s">
        <v>91</v>
      </c>
      <c r="D64" s="25">
        <v>15</v>
      </c>
      <c r="E64" s="27">
        <f t="shared" si="14"/>
        <v>174.26666666666668</v>
      </c>
      <c r="F64" s="39">
        <v>2614</v>
      </c>
      <c r="G64" s="29">
        <v>0</v>
      </c>
      <c r="H64" s="29">
        <f>TRUNC(SUM(D64*E64)+G64,2)</f>
        <v>2614</v>
      </c>
      <c r="I64" s="30"/>
      <c r="J64" s="31">
        <v>0</v>
      </c>
      <c r="K64" s="31">
        <f>H64+J64</f>
        <v>2614</v>
      </c>
      <c r="L64" s="31">
        <f>IF(H64=0,0,VLOOKUP(K64,Tarifa1,1))</f>
        <v>2077.5100000000002</v>
      </c>
      <c r="M64" s="31">
        <f>K64-L64</f>
        <v>536.48999999999978</v>
      </c>
      <c r="N64" s="32">
        <f>IF(H64=0,0,VLOOKUP(K64,Tarifa1,3))</f>
        <v>0.10879999999999999</v>
      </c>
      <c r="O64" s="31">
        <f>M64*N64</f>
        <v>58.37011199999997</v>
      </c>
      <c r="P64" s="31">
        <f>IF(H64=0,0,VLOOKUP(K64,Tarifa1,2))</f>
        <v>121.95</v>
      </c>
      <c r="Q64" s="31">
        <f>O64+P64</f>
        <v>180.32011199999997</v>
      </c>
      <c r="R64" s="31">
        <f>IF(H64=0,0,VLOOKUP(K64,Credito1,2))</f>
        <v>160.35</v>
      </c>
      <c r="S64" s="31">
        <f>Q64-R64</f>
        <v>19.970111999999972</v>
      </c>
      <c r="T64" s="33"/>
      <c r="U64" s="29">
        <f>-IF(S64&gt;0,0,S64)</f>
        <v>0</v>
      </c>
      <c r="V64" s="34">
        <f>IF(S64&lt;0,0,S64)</f>
        <v>19.970111999999972</v>
      </c>
      <c r="W64" s="35">
        <v>0</v>
      </c>
      <c r="X64" s="29">
        <f>SUM(V64:W64)</f>
        <v>19.970111999999972</v>
      </c>
      <c r="Y64" s="89">
        <f>H64+U64-X64</f>
        <v>2594.029888</v>
      </c>
    </row>
    <row r="65" spans="1:25" s="19" customFormat="1" x14ac:dyDescent="0.25">
      <c r="A65" s="88">
        <v>42</v>
      </c>
      <c r="B65" s="26" t="s">
        <v>184</v>
      </c>
      <c r="C65" s="26" t="s">
        <v>91</v>
      </c>
      <c r="D65" s="25">
        <v>15</v>
      </c>
      <c r="E65" s="27">
        <f t="shared" si="14"/>
        <v>174.26666666666668</v>
      </c>
      <c r="F65" s="39">
        <v>2614</v>
      </c>
      <c r="G65" s="29">
        <v>0</v>
      </c>
      <c r="H65" s="29">
        <f t="shared" si="15"/>
        <v>2614</v>
      </c>
      <c r="I65" s="30"/>
      <c r="J65" s="31">
        <v>0</v>
      </c>
      <c r="K65" s="31">
        <f t="shared" si="16"/>
        <v>2614</v>
      </c>
      <c r="L65" s="31">
        <f>IF(H65=0,0,VLOOKUP(K65,Tarifa1,1))</f>
        <v>2077.5100000000002</v>
      </c>
      <c r="M65" s="31">
        <f t="shared" si="17"/>
        <v>536.48999999999978</v>
      </c>
      <c r="N65" s="32">
        <f>IF(H65=0,0,VLOOKUP(K65,Tarifa1,3))</f>
        <v>0.10879999999999999</v>
      </c>
      <c r="O65" s="31">
        <f t="shared" si="18"/>
        <v>58.37011199999997</v>
      </c>
      <c r="P65" s="31">
        <f>IF(H65=0,0,VLOOKUP(K65,Tarifa1,2))</f>
        <v>121.95</v>
      </c>
      <c r="Q65" s="31">
        <f t="shared" si="19"/>
        <v>180.32011199999997</v>
      </c>
      <c r="R65" s="31">
        <f>IF(H65=0,0,VLOOKUP(K65,Credito1,2))</f>
        <v>160.35</v>
      </c>
      <c r="S65" s="31">
        <f t="shared" si="20"/>
        <v>19.970111999999972</v>
      </c>
      <c r="T65" s="33"/>
      <c r="U65" s="29">
        <f>-IF(S65&gt;0,0,S65)</f>
        <v>0</v>
      </c>
      <c r="V65" s="34">
        <f>IF(S65&lt;0,0,S65)</f>
        <v>19.970111999999972</v>
      </c>
      <c r="W65" s="35">
        <v>0</v>
      </c>
      <c r="X65" s="29">
        <f t="shared" si="21"/>
        <v>19.970111999999972</v>
      </c>
      <c r="Y65" s="89">
        <f>H65+U65-X65</f>
        <v>2594.029888</v>
      </c>
    </row>
    <row r="66" spans="1:25" s="19" customFormat="1" x14ac:dyDescent="0.25">
      <c r="A66" s="88">
        <v>43</v>
      </c>
      <c r="B66" s="26" t="s">
        <v>185</v>
      </c>
      <c r="C66" s="26" t="s">
        <v>72</v>
      </c>
      <c r="D66" s="25">
        <v>15</v>
      </c>
      <c r="E66" s="27">
        <f>F66/15</f>
        <v>171.66666666666666</v>
      </c>
      <c r="F66" s="28">
        <v>2575</v>
      </c>
      <c r="G66" s="42">
        <v>0</v>
      </c>
      <c r="H66" s="47">
        <f>TRUNC(SUM(D66*E66)+G66,2)</f>
        <v>2575</v>
      </c>
      <c r="I66" s="48"/>
      <c r="J66" s="49">
        <v>0</v>
      </c>
      <c r="K66" s="49">
        <f t="shared" si="16"/>
        <v>2575</v>
      </c>
      <c r="L66" s="49">
        <f>VLOOKUP(K66,Tarifa1,1)</f>
        <v>2077.5100000000002</v>
      </c>
      <c r="M66" s="49">
        <f t="shared" si="17"/>
        <v>497.48999999999978</v>
      </c>
      <c r="N66" s="50">
        <f>VLOOKUP(K66,Tarifa1,3)</f>
        <v>0.10879999999999999</v>
      </c>
      <c r="O66" s="49">
        <f t="shared" si="18"/>
        <v>54.126911999999976</v>
      </c>
      <c r="P66" s="49">
        <f>VLOOKUP(K66,Tarifa1,2)</f>
        <v>121.95</v>
      </c>
      <c r="Q66" s="49">
        <f t="shared" si="19"/>
        <v>176.07691199999999</v>
      </c>
      <c r="R66" s="49">
        <f>VLOOKUP(K66,Credito1,2)</f>
        <v>160.35</v>
      </c>
      <c r="S66" s="49">
        <f t="shared" si="20"/>
        <v>15.726911999999999</v>
      </c>
      <c r="T66" s="51"/>
      <c r="U66" s="47">
        <f>-IF(S66&gt;0,0,S66)</f>
        <v>0</v>
      </c>
      <c r="V66" s="52">
        <f>IF(S66&lt;0,0,S66)</f>
        <v>15.726911999999999</v>
      </c>
      <c r="W66" s="53">
        <v>0</v>
      </c>
      <c r="X66" s="47">
        <f t="shared" si="21"/>
        <v>15.726911999999999</v>
      </c>
      <c r="Y66" s="94">
        <f>H66+U66-X66</f>
        <v>2559.2730879999999</v>
      </c>
    </row>
    <row r="67" spans="1:25" s="19" customFormat="1" x14ac:dyDescent="0.25">
      <c r="A67" s="88"/>
      <c r="B67" s="40" t="s">
        <v>186</v>
      </c>
      <c r="C67" s="26"/>
      <c r="D67" s="25"/>
      <c r="E67" s="27"/>
      <c r="F67" s="39"/>
      <c r="G67" s="29"/>
      <c r="H67" s="29"/>
      <c r="I67" s="30"/>
      <c r="J67" s="31"/>
      <c r="K67" s="31"/>
      <c r="L67" s="31"/>
      <c r="M67" s="31"/>
      <c r="N67" s="32"/>
      <c r="O67" s="31"/>
      <c r="P67" s="31"/>
      <c r="Q67" s="31"/>
      <c r="R67" s="31"/>
      <c r="S67" s="31"/>
      <c r="T67" s="33"/>
      <c r="U67" s="29"/>
      <c r="V67" s="34"/>
      <c r="W67" s="35"/>
      <c r="X67" s="29"/>
      <c r="Y67" s="89"/>
    </row>
    <row r="68" spans="1:25" s="19" customFormat="1" x14ac:dyDescent="0.25">
      <c r="A68" s="88">
        <v>44</v>
      </c>
      <c r="B68" s="26" t="s">
        <v>187</v>
      </c>
      <c r="C68" s="26" t="s">
        <v>188</v>
      </c>
      <c r="D68" s="25">
        <v>15</v>
      </c>
      <c r="E68" s="27">
        <f t="shared" si="14"/>
        <v>133.66666666666666</v>
      </c>
      <c r="F68" s="39">
        <v>2005</v>
      </c>
      <c r="G68" s="29">
        <v>0</v>
      </c>
      <c r="H68" s="29">
        <f>TRUNC(SUM(D68*E68)+G68,2)</f>
        <v>2005</v>
      </c>
      <c r="I68" s="30"/>
      <c r="J68" s="31">
        <v>0</v>
      </c>
      <c r="K68" s="31">
        <f>H68+J68</f>
        <v>2005</v>
      </c>
      <c r="L68" s="31">
        <f>VLOOKUP(K68,Tarifa1,1)</f>
        <v>244.81</v>
      </c>
      <c r="M68" s="31">
        <f>K68-L68</f>
        <v>1760.19</v>
      </c>
      <c r="N68" s="32">
        <f>VLOOKUP(K68,Tarifa1,3)</f>
        <v>6.4000000000000001E-2</v>
      </c>
      <c r="O68" s="31">
        <f>M68*N68</f>
        <v>112.65216000000001</v>
      </c>
      <c r="P68" s="31">
        <f>VLOOKUP(K68,Tarifa1,2)</f>
        <v>4.6500000000000004</v>
      </c>
      <c r="Q68" s="31">
        <f>O68+P68</f>
        <v>117.30216000000001</v>
      </c>
      <c r="R68" s="31">
        <f>VLOOKUP(K68,Credito1,2)</f>
        <v>188.7</v>
      </c>
      <c r="S68" s="31">
        <f>Q68-R68</f>
        <v>-71.397839999999974</v>
      </c>
      <c r="T68" s="33"/>
      <c r="U68" s="29">
        <f>-IF(S68&gt;0,0,S68)</f>
        <v>71.397839999999974</v>
      </c>
      <c r="V68" s="34">
        <f>IF(S68&lt;0,0,S68)</f>
        <v>0</v>
      </c>
      <c r="W68" s="35">
        <v>0</v>
      </c>
      <c r="X68" s="29">
        <f>SUM(V68:W68)</f>
        <v>0</v>
      </c>
      <c r="Y68" s="89">
        <f>H68+U68-X68</f>
        <v>2076.3978400000001</v>
      </c>
    </row>
    <row r="69" spans="1:25" s="19" customFormat="1" ht="26.25" x14ac:dyDescent="0.25">
      <c r="A69" s="88"/>
      <c r="B69" s="40" t="s">
        <v>189</v>
      </c>
      <c r="C69" s="26"/>
      <c r="D69" s="25"/>
      <c r="E69" s="27"/>
      <c r="F69" s="39"/>
      <c r="G69" s="29"/>
      <c r="H69" s="29"/>
      <c r="I69" s="30"/>
      <c r="J69" s="31"/>
      <c r="K69" s="31"/>
      <c r="L69" s="31"/>
      <c r="M69" s="31"/>
      <c r="N69" s="32"/>
      <c r="O69" s="31"/>
      <c r="P69" s="31"/>
      <c r="Q69" s="31"/>
      <c r="R69" s="31"/>
      <c r="S69" s="31"/>
      <c r="T69" s="33"/>
      <c r="U69" s="29"/>
      <c r="V69" s="34"/>
      <c r="W69" s="35"/>
      <c r="X69" s="29"/>
      <c r="Y69" s="89"/>
    </row>
    <row r="70" spans="1:25" s="19" customFormat="1" x14ac:dyDescent="0.25">
      <c r="A70" s="88">
        <v>45</v>
      </c>
      <c r="B70" s="26" t="s">
        <v>190</v>
      </c>
      <c r="C70" s="26" t="s">
        <v>191</v>
      </c>
      <c r="D70" s="25">
        <v>15</v>
      </c>
      <c r="E70" s="27">
        <f>F70/15</f>
        <v>178.53333333333333</v>
      </c>
      <c r="F70" s="39">
        <v>2678</v>
      </c>
      <c r="G70" s="29">
        <v>0</v>
      </c>
      <c r="H70" s="29">
        <f>TRUNC(SUM(D70*E70)+G70,2)</f>
        <v>2678</v>
      </c>
      <c r="I70" s="30"/>
      <c r="J70" s="31">
        <v>0</v>
      </c>
      <c r="K70" s="31">
        <f>H70+J70</f>
        <v>2678</v>
      </c>
      <c r="L70" s="31">
        <f>VLOOKUP(K70,Tarifa1,1)</f>
        <v>2077.5100000000002</v>
      </c>
      <c r="M70" s="31">
        <f>K70-L70</f>
        <v>600.48999999999978</v>
      </c>
      <c r="N70" s="32">
        <f>VLOOKUP(K70,Tarifa1,3)</f>
        <v>0.10879999999999999</v>
      </c>
      <c r="O70" s="31">
        <f>M70*N70</f>
        <v>65.333311999999978</v>
      </c>
      <c r="P70" s="31">
        <f>VLOOKUP(K70,Tarifa1,2)</f>
        <v>121.95</v>
      </c>
      <c r="Q70" s="31">
        <f>O70+P70</f>
        <v>187.28331199999997</v>
      </c>
      <c r="R70" s="31">
        <f>VLOOKUP(K70,Credito1,2)</f>
        <v>145.35</v>
      </c>
      <c r="S70" s="31">
        <f>Q70-R70</f>
        <v>41.933311999999972</v>
      </c>
      <c r="T70" s="33"/>
      <c r="U70" s="29">
        <f>-IF(S70&gt;0,0,S70)</f>
        <v>0</v>
      </c>
      <c r="V70" s="34">
        <f>IF(S70&lt;0,0,S70)</f>
        <v>41.933311999999972</v>
      </c>
      <c r="W70" s="35">
        <v>0</v>
      </c>
      <c r="X70" s="29">
        <f>SUM(V70:W70)</f>
        <v>41.933311999999972</v>
      </c>
      <c r="Y70" s="89">
        <f>H70+U70-X70</f>
        <v>2636.0666879999999</v>
      </c>
    </row>
    <row r="71" spans="1:25" s="19" customFormat="1" x14ac:dyDescent="0.25">
      <c r="A71" s="88">
        <v>46</v>
      </c>
      <c r="B71" s="26" t="s">
        <v>192</v>
      </c>
      <c r="C71" s="26" t="s">
        <v>193</v>
      </c>
      <c r="D71" s="25">
        <v>15</v>
      </c>
      <c r="E71" s="27">
        <f>F71/15</f>
        <v>133.66666666666666</v>
      </c>
      <c r="F71" s="39">
        <v>2005</v>
      </c>
      <c r="G71" s="29">
        <v>0</v>
      </c>
      <c r="H71" s="29">
        <f>TRUNC(SUM(D71*E71)+G71,2)</f>
        <v>2005</v>
      </c>
      <c r="I71" s="30"/>
      <c r="J71" s="31">
        <v>0</v>
      </c>
      <c r="K71" s="31">
        <f>H71+J71</f>
        <v>2005</v>
      </c>
      <c r="L71" s="31">
        <f>VLOOKUP(K71,Tarifa1,1)</f>
        <v>244.81</v>
      </c>
      <c r="M71" s="31">
        <f>K71-L71</f>
        <v>1760.19</v>
      </c>
      <c r="N71" s="32">
        <f>VLOOKUP(K71,Tarifa1,3)</f>
        <v>6.4000000000000001E-2</v>
      </c>
      <c r="O71" s="31">
        <f>M71*N71</f>
        <v>112.65216000000001</v>
      </c>
      <c r="P71" s="31">
        <f>VLOOKUP(K71,Tarifa1,2)</f>
        <v>4.6500000000000004</v>
      </c>
      <c r="Q71" s="31">
        <f>O71+P71</f>
        <v>117.30216000000001</v>
      </c>
      <c r="R71" s="31">
        <f>VLOOKUP(K71,Credito1,2)</f>
        <v>188.7</v>
      </c>
      <c r="S71" s="31">
        <f>Q71-R71</f>
        <v>-71.397839999999974</v>
      </c>
      <c r="T71" s="33"/>
      <c r="U71" s="29">
        <f>-IF(S71&gt;0,0,S71)</f>
        <v>71.397839999999974</v>
      </c>
      <c r="V71" s="34">
        <f>IF(S71&lt;0,0,S71)</f>
        <v>0</v>
      </c>
      <c r="W71" s="35">
        <v>0</v>
      </c>
      <c r="X71" s="29">
        <f>SUM(V71:W71)</f>
        <v>0</v>
      </c>
      <c r="Y71" s="89">
        <f>H71+U71-X71</f>
        <v>2076.3978400000001</v>
      </c>
    </row>
    <row r="72" spans="1:25" s="19" customFormat="1" x14ac:dyDescent="0.25">
      <c r="A72" s="88">
        <v>47</v>
      </c>
      <c r="B72" s="26" t="s">
        <v>194</v>
      </c>
      <c r="C72" s="26" t="s">
        <v>195</v>
      </c>
      <c r="D72" s="25">
        <v>15</v>
      </c>
      <c r="E72" s="27">
        <f>F72/15</f>
        <v>137.93333333333334</v>
      </c>
      <c r="F72" s="39">
        <v>2069</v>
      </c>
      <c r="G72" s="29">
        <v>0</v>
      </c>
      <c r="H72" s="29">
        <f>TRUNC(SUM(D72*E72)+G72,2)</f>
        <v>2069</v>
      </c>
      <c r="I72" s="30"/>
      <c r="J72" s="31">
        <v>0</v>
      </c>
      <c r="K72" s="31">
        <f>H72+J72</f>
        <v>2069</v>
      </c>
      <c r="L72" s="31">
        <f>VLOOKUP(K72,Tarifa1,1)</f>
        <v>244.81</v>
      </c>
      <c r="M72" s="31">
        <f>K72-L72</f>
        <v>1824.19</v>
      </c>
      <c r="N72" s="32">
        <f>VLOOKUP(K72,Tarifa1,3)</f>
        <v>6.4000000000000001E-2</v>
      </c>
      <c r="O72" s="31">
        <f>M72*N72</f>
        <v>116.74816000000001</v>
      </c>
      <c r="P72" s="31">
        <f>VLOOKUP(K72,Tarifa1,2)</f>
        <v>4.6500000000000004</v>
      </c>
      <c r="Q72" s="31">
        <f>O72+P72</f>
        <v>121.39816000000002</v>
      </c>
      <c r="R72" s="31">
        <f>VLOOKUP(K72,Credito1,2)</f>
        <v>188.7</v>
      </c>
      <c r="S72" s="31">
        <f>Q72-R72</f>
        <v>-67.30183999999997</v>
      </c>
      <c r="T72" s="33"/>
      <c r="U72" s="29">
        <f>-IF(S72&gt;0,0,S72)</f>
        <v>67.30183999999997</v>
      </c>
      <c r="V72" s="34">
        <f>IF(S72&lt;0,0,S72)</f>
        <v>0</v>
      </c>
      <c r="W72" s="35">
        <v>0</v>
      </c>
      <c r="X72" s="29">
        <f>SUM(V72:W72)</f>
        <v>0</v>
      </c>
      <c r="Y72" s="89">
        <f>H72+U72-X72</f>
        <v>2136.3018400000001</v>
      </c>
    </row>
    <row r="73" spans="1:25" s="19" customFormat="1" x14ac:dyDescent="0.25">
      <c r="A73" s="88">
        <v>48</v>
      </c>
      <c r="B73" s="26" t="s">
        <v>196</v>
      </c>
      <c r="C73" s="26" t="s">
        <v>197</v>
      </c>
      <c r="D73" s="25">
        <v>15</v>
      </c>
      <c r="E73" s="27">
        <f>F73/15</f>
        <v>165.06666666666666</v>
      </c>
      <c r="F73" s="39">
        <v>2476</v>
      </c>
      <c r="G73" s="29">
        <v>0</v>
      </c>
      <c r="H73" s="29">
        <f>TRUNC(SUM(D73*E73)+G73,2)</f>
        <v>2476</v>
      </c>
      <c r="I73" s="30"/>
      <c r="J73" s="31">
        <v>0</v>
      </c>
      <c r="K73" s="31">
        <f>H73+J73</f>
        <v>2476</v>
      </c>
      <c r="L73" s="31">
        <f>VLOOKUP(K73,Tarifa1,1)</f>
        <v>2077.5100000000002</v>
      </c>
      <c r="M73" s="31">
        <f>K73-L73</f>
        <v>398.48999999999978</v>
      </c>
      <c r="N73" s="32">
        <f>VLOOKUP(K73,Tarifa1,3)</f>
        <v>0.10879999999999999</v>
      </c>
      <c r="O73" s="31">
        <f>M73*N73</f>
        <v>43.355711999999976</v>
      </c>
      <c r="P73" s="31">
        <f>VLOOKUP(K73,Tarifa1,2)</f>
        <v>121.95</v>
      </c>
      <c r="Q73" s="31">
        <f>O73+P73</f>
        <v>165.30571199999997</v>
      </c>
      <c r="R73" s="31">
        <f>VLOOKUP(K73,Credito1,2)</f>
        <v>160.35</v>
      </c>
      <c r="S73" s="31">
        <f>Q73-R73</f>
        <v>4.955711999999977</v>
      </c>
      <c r="T73" s="33"/>
      <c r="U73" s="29">
        <f>-IF(S73&gt;0,0,S73)</f>
        <v>0</v>
      </c>
      <c r="V73" s="34">
        <f>IF(S73&lt;0,0,S73)</f>
        <v>4.955711999999977</v>
      </c>
      <c r="W73" s="35">
        <v>0</v>
      </c>
      <c r="X73" s="29">
        <f>SUM(V73:W73)</f>
        <v>4.955711999999977</v>
      </c>
      <c r="Y73" s="89">
        <f>H73+U73-X73</f>
        <v>2471.0442880000001</v>
      </c>
    </row>
    <row r="74" spans="1:25" s="19" customFormat="1" x14ac:dyDescent="0.25">
      <c r="A74" s="88"/>
      <c r="B74" s="40" t="s">
        <v>198</v>
      </c>
      <c r="C74" s="26"/>
      <c r="D74" s="25"/>
      <c r="E74" s="27"/>
      <c r="F74" s="39"/>
      <c r="G74" s="29"/>
      <c r="H74" s="29"/>
      <c r="I74" s="30"/>
      <c r="J74" s="31"/>
      <c r="K74" s="31"/>
      <c r="L74" s="31"/>
      <c r="M74" s="31"/>
      <c r="N74" s="32"/>
      <c r="O74" s="31"/>
      <c r="P74" s="31"/>
      <c r="Q74" s="31"/>
      <c r="R74" s="31"/>
      <c r="S74" s="31"/>
      <c r="T74" s="33"/>
      <c r="U74" s="29"/>
      <c r="V74" s="34"/>
      <c r="W74" s="35"/>
      <c r="X74" s="29"/>
      <c r="Y74" s="89"/>
    </row>
    <row r="75" spans="1:25" s="19" customFormat="1" x14ac:dyDescent="0.25">
      <c r="A75" s="88">
        <v>49</v>
      </c>
      <c r="B75" s="26" t="s">
        <v>199</v>
      </c>
      <c r="C75" s="26" t="s">
        <v>200</v>
      </c>
      <c r="D75" s="25">
        <v>15</v>
      </c>
      <c r="E75" s="27">
        <f>F75/15</f>
        <v>288.42666666666662</v>
      </c>
      <c r="F75" s="39">
        <v>4326.3999999999996</v>
      </c>
      <c r="G75" s="29">
        <v>0</v>
      </c>
      <c r="H75" s="29">
        <f>TRUNC(SUM(D75*E75)+G75,2)</f>
        <v>4326.3999999999996</v>
      </c>
      <c r="I75" s="30"/>
      <c r="J75" s="31">
        <v>0</v>
      </c>
      <c r="K75" s="31">
        <f>H75+J75</f>
        <v>4326.3999999999996</v>
      </c>
      <c r="L75" s="31">
        <f>VLOOKUP(K75,Tarifa1,1)</f>
        <v>4244.1099999999997</v>
      </c>
      <c r="M75" s="31">
        <f>K75-L75</f>
        <v>82.289999999999964</v>
      </c>
      <c r="N75" s="32">
        <f>VLOOKUP(K75,Tarifa1,3)</f>
        <v>0.1792</v>
      </c>
      <c r="O75" s="31">
        <f>M75*N75</f>
        <v>14.746367999999993</v>
      </c>
      <c r="P75" s="31">
        <f>VLOOKUP(K75,Tarifa1,2)</f>
        <v>388.05</v>
      </c>
      <c r="Q75" s="31">
        <f>O75+P75</f>
        <v>402.79636800000003</v>
      </c>
      <c r="R75" s="31">
        <f>VLOOKUP(K75,Credito1,2)</f>
        <v>0</v>
      </c>
      <c r="S75" s="31">
        <f>Q75-R75</f>
        <v>402.79636800000003</v>
      </c>
      <c r="T75" s="33"/>
      <c r="U75" s="29">
        <f>-IF(S75&gt;0,0,S75)</f>
        <v>0</v>
      </c>
      <c r="V75" s="34">
        <f>IF(S75&lt;0,0,S75)</f>
        <v>402.79636800000003</v>
      </c>
      <c r="W75" s="35">
        <v>0</v>
      </c>
      <c r="X75" s="29">
        <f>SUM(V75:W75)</f>
        <v>402.79636800000003</v>
      </c>
      <c r="Y75" s="89">
        <f>H75+U75-X75</f>
        <v>3923.6036319999994</v>
      </c>
    </row>
    <row r="76" spans="1:25" s="19" customFormat="1" x14ac:dyDescent="0.25">
      <c r="A76" s="88"/>
      <c r="B76" s="40" t="s">
        <v>201</v>
      </c>
      <c r="C76" s="26"/>
      <c r="D76" s="25"/>
      <c r="E76" s="27"/>
      <c r="F76" s="39"/>
      <c r="G76" s="29"/>
      <c r="H76" s="29"/>
      <c r="I76" s="30"/>
      <c r="J76" s="31"/>
      <c r="K76" s="31"/>
      <c r="L76" s="31"/>
      <c r="M76" s="31"/>
      <c r="N76" s="32"/>
      <c r="O76" s="31"/>
      <c r="P76" s="31"/>
      <c r="Q76" s="31"/>
      <c r="R76" s="31"/>
      <c r="S76" s="31"/>
      <c r="T76" s="33"/>
      <c r="U76" s="29"/>
      <c r="V76" s="34"/>
      <c r="W76" s="35"/>
      <c r="X76" s="29"/>
      <c r="Y76" s="89"/>
    </row>
    <row r="77" spans="1:25" s="19" customFormat="1" ht="26.25" x14ac:dyDescent="0.25">
      <c r="A77" s="88">
        <v>50</v>
      </c>
      <c r="B77" s="26" t="s">
        <v>202</v>
      </c>
      <c r="C77" s="26" t="s">
        <v>67</v>
      </c>
      <c r="D77" s="25">
        <v>15</v>
      </c>
      <c r="E77" s="27">
        <f>F77/15</f>
        <v>221.86666666666667</v>
      </c>
      <c r="F77" s="39">
        <v>3328</v>
      </c>
      <c r="G77" s="29">
        <v>0</v>
      </c>
      <c r="H77" s="29">
        <f>TRUNC(SUM(D77*E77)+G77,2)</f>
        <v>3328</v>
      </c>
      <c r="I77" s="30"/>
      <c r="J77" s="31">
        <v>0</v>
      </c>
      <c r="K77" s="31">
        <f>H77+J77</f>
        <v>3328</v>
      </c>
      <c r="L77" s="31">
        <f>VLOOKUP(K77,Tarifa1,1)</f>
        <v>2077.5100000000002</v>
      </c>
      <c r="M77" s="31">
        <f>K77-L77</f>
        <v>1250.4899999999998</v>
      </c>
      <c r="N77" s="32">
        <f>VLOOKUP(K77,Tarifa1,3)</f>
        <v>0.10879999999999999</v>
      </c>
      <c r="O77" s="31">
        <f>M77*N77</f>
        <v>136.05331199999998</v>
      </c>
      <c r="P77" s="31">
        <f>VLOOKUP(K77,Tarifa1,2)</f>
        <v>121.95</v>
      </c>
      <c r="Q77" s="31">
        <f>O77+P77</f>
        <v>258.00331199999999</v>
      </c>
      <c r="R77" s="31">
        <f>VLOOKUP(K77,Credito1,2)</f>
        <v>125.1</v>
      </c>
      <c r="S77" s="31">
        <f>Q77-R77</f>
        <v>132.903312</v>
      </c>
      <c r="T77" s="33"/>
      <c r="U77" s="29">
        <f>-IF(S77&gt;0,0,S77)</f>
        <v>0</v>
      </c>
      <c r="V77" s="34">
        <f>IF(S77&lt;0,0,S77)</f>
        <v>132.903312</v>
      </c>
      <c r="W77" s="35">
        <v>0</v>
      </c>
      <c r="X77" s="29">
        <f>SUM(V77:W77)</f>
        <v>132.903312</v>
      </c>
      <c r="Y77" s="89">
        <f>H77+U77-X77</f>
        <v>3195.0966880000001</v>
      </c>
    </row>
    <row r="78" spans="1:25" s="19" customFormat="1" x14ac:dyDescent="0.25">
      <c r="A78" s="88"/>
      <c r="B78" s="26"/>
      <c r="C78" s="26"/>
      <c r="D78" s="25"/>
      <c r="E78" s="27"/>
      <c r="F78" s="39"/>
      <c r="G78" s="29"/>
      <c r="H78" s="29"/>
      <c r="I78" s="30"/>
      <c r="J78" s="31"/>
      <c r="K78" s="31"/>
      <c r="L78" s="31"/>
      <c r="M78" s="31"/>
      <c r="N78" s="32"/>
      <c r="O78" s="31"/>
      <c r="P78" s="31"/>
      <c r="Q78" s="31"/>
      <c r="R78" s="31"/>
      <c r="S78" s="31"/>
      <c r="T78" s="33"/>
      <c r="U78" s="29"/>
      <c r="V78" s="34"/>
      <c r="W78" s="35"/>
      <c r="X78" s="29"/>
      <c r="Y78" s="89"/>
    </row>
    <row r="79" spans="1:25" s="19" customFormat="1" ht="26.25" x14ac:dyDescent="0.25">
      <c r="A79" s="88"/>
      <c r="B79" s="40" t="s">
        <v>203</v>
      </c>
      <c r="C79" s="26"/>
      <c r="D79" s="25"/>
      <c r="E79" s="27"/>
      <c r="F79" s="39"/>
      <c r="G79" s="29"/>
      <c r="H79" s="29"/>
      <c r="I79" s="30"/>
      <c r="J79" s="31"/>
      <c r="K79" s="31"/>
      <c r="L79" s="31"/>
      <c r="M79" s="31"/>
      <c r="N79" s="32"/>
      <c r="O79" s="31"/>
      <c r="P79" s="31"/>
      <c r="Q79" s="31"/>
      <c r="R79" s="31"/>
      <c r="S79" s="31"/>
      <c r="T79" s="33"/>
      <c r="U79" s="29"/>
      <c r="V79" s="34"/>
      <c r="W79" s="35"/>
      <c r="X79" s="29"/>
      <c r="Y79" s="89"/>
    </row>
    <row r="80" spans="1:25" s="19" customFormat="1" x14ac:dyDescent="0.25">
      <c r="A80" s="88">
        <v>51</v>
      </c>
      <c r="B80" s="26" t="s">
        <v>204</v>
      </c>
      <c r="C80" s="26" t="s">
        <v>205</v>
      </c>
      <c r="D80" s="25">
        <v>15</v>
      </c>
      <c r="E80" s="27">
        <f>F80/15</f>
        <v>300</v>
      </c>
      <c r="F80" s="39">
        <v>4500</v>
      </c>
      <c r="G80" s="29">
        <v>0</v>
      </c>
      <c r="H80" s="29">
        <f>TRUNC(SUM(D80*E80)+G80,2)</f>
        <v>4500</v>
      </c>
      <c r="I80" s="30"/>
      <c r="J80" s="31">
        <v>0</v>
      </c>
      <c r="K80" s="31">
        <f>H80+J80</f>
        <v>4500</v>
      </c>
      <c r="L80" s="31">
        <f>VLOOKUP(K80,Tarifa1,1)</f>
        <v>4244.1099999999997</v>
      </c>
      <c r="M80" s="31">
        <f>K80-L80</f>
        <v>255.89000000000033</v>
      </c>
      <c r="N80" s="32">
        <f>VLOOKUP(K80,Tarifa1,3)</f>
        <v>0.1792</v>
      </c>
      <c r="O80" s="31">
        <f>M80*N80</f>
        <v>45.855488000000058</v>
      </c>
      <c r="P80" s="31">
        <f>VLOOKUP(K80,Tarifa1,2)</f>
        <v>388.05</v>
      </c>
      <c r="Q80" s="31">
        <f>O80+P80</f>
        <v>433.90548800000005</v>
      </c>
      <c r="R80" s="31">
        <f>VLOOKUP(K80,Credito1,2)</f>
        <v>0</v>
      </c>
      <c r="S80" s="31">
        <f>Q80-R80</f>
        <v>433.90548800000005</v>
      </c>
      <c r="T80" s="33"/>
      <c r="U80" s="29">
        <f>-IF(S80&gt;0,0,S80)</f>
        <v>0</v>
      </c>
      <c r="V80" s="34">
        <f>IF(S80&lt;0,0,S80)</f>
        <v>433.90548800000005</v>
      </c>
      <c r="W80" s="35">
        <v>0</v>
      </c>
      <c r="X80" s="29">
        <f>SUM(V80:W80)</f>
        <v>433.90548800000005</v>
      </c>
      <c r="Y80" s="89">
        <f>H80+U80-X80</f>
        <v>4066.0945120000001</v>
      </c>
    </row>
    <row r="81" spans="1:25" s="19" customFormat="1" x14ac:dyDescent="0.25">
      <c r="A81" s="88"/>
      <c r="B81" s="40" t="s">
        <v>206</v>
      </c>
      <c r="C81" s="26"/>
      <c r="D81" s="25"/>
      <c r="E81" s="27"/>
      <c r="F81" s="39"/>
      <c r="G81" s="29"/>
      <c r="H81" s="29"/>
      <c r="I81" s="30"/>
      <c r="J81" s="31"/>
      <c r="K81" s="31"/>
      <c r="L81" s="31"/>
      <c r="M81" s="31"/>
      <c r="N81" s="32"/>
      <c r="O81" s="31"/>
      <c r="P81" s="31"/>
      <c r="Q81" s="31"/>
      <c r="R81" s="31"/>
      <c r="S81" s="31"/>
      <c r="T81" s="33"/>
      <c r="U81" s="29"/>
      <c r="V81" s="34"/>
      <c r="W81" s="35"/>
      <c r="X81" s="29"/>
      <c r="Y81" s="89"/>
    </row>
    <row r="82" spans="1:25" s="19" customFormat="1" x14ac:dyDescent="0.25">
      <c r="A82" s="88">
        <v>52</v>
      </c>
      <c r="B82" s="26" t="s">
        <v>207</v>
      </c>
      <c r="C82" s="26" t="s">
        <v>208</v>
      </c>
      <c r="D82" s="25">
        <v>15</v>
      </c>
      <c r="E82" s="27">
        <f>F82/15</f>
        <v>37.733333333333334</v>
      </c>
      <c r="F82" s="39">
        <v>566</v>
      </c>
      <c r="G82" s="29">
        <v>0</v>
      </c>
      <c r="H82" s="29">
        <f>TRUNC(SUM(D82*E82)+G82,2)</f>
        <v>566</v>
      </c>
      <c r="I82" s="30"/>
      <c r="J82" s="31">
        <v>0</v>
      </c>
      <c r="K82" s="31">
        <f>H82+J82</f>
        <v>566</v>
      </c>
      <c r="L82" s="31">
        <f>VLOOKUP(K82,Tarifa1,1)</f>
        <v>244.81</v>
      </c>
      <c r="M82" s="31">
        <f>K82-L82</f>
        <v>321.19</v>
      </c>
      <c r="N82" s="32">
        <f>VLOOKUP(K82,Tarifa1,3)</f>
        <v>6.4000000000000001E-2</v>
      </c>
      <c r="O82" s="31">
        <f>M82*N82</f>
        <v>20.556160000000002</v>
      </c>
      <c r="P82" s="31">
        <f>VLOOKUP(K82,Tarifa1,2)</f>
        <v>4.6500000000000004</v>
      </c>
      <c r="Q82" s="31">
        <f>O82+P82</f>
        <v>25.206160000000004</v>
      </c>
      <c r="R82" s="31">
        <f>VLOOKUP(K82,Credito1,2)</f>
        <v>200.85</v>
      </c>
      <c r="S82" s="31">
        <f>Q82-R82</f>
        <v>-175.64383999999998</v>
      </c>
      <c r="T82" s="33"/>
      <c r="U82" s="29">
        <f>-IF(S82&gt;0,0,S82)</f>
        <v>175.64383999999998</v>
      </c>
      <c r="V82" s="34">
        <f>IF(S82&lt;0,0,S82)</f>
        <v>0</v>
      </c>
      <c r="W82" s="35">
        <v>0</v>
      </c>
      <c r="X82" s="29">
        <f>SUM(V82:W82)</f>
        <v>0</v>
      </c>
      <c r="Y82" s="89">
        <f>H82+U82-X82</f>
        <v>741.64383999999995</v>
      </c>
    </row>
    <row r="83" spans="1:25" s="19" customFormat="1" x14ac:dyDescent="0.25">
      <c r="A83" s="88">
        <v>53</v>
      </c>
      <c r="B83" s="26" t="s">
        <v>209</v>
      </c>
      <c r="C83" s="26" t="s">
        <v>210</v>
      </c>
      <c r="D83" s="25">
        <v>15</v>
      </c>
      <c r="E83" s="27">
        <f>F83/15</f>
        <v>67.400000000000006</v>
      </c>
      <c r="F83" s="39">
        <v>1011</v>
      </c>
      <c r="G83" s="29">
        <v>0</v>
      </c>
      <c r="H83" s="29">
        <f>TRUNC(SUM(D83*E83)+G83,2)</f>
        <v>1011</v>
      </c>
      <c r="I83" s="30"/>
      <c r="J83" s="31">
        <v>0</v>
      </c>
      <c r="K83" s="31">
        <f>H83+J83</f>
        <v>1011</v>
      </c>
      <c r="L83" s="31">
        <f>VLOOKUP(K83,Tarifa1,1)</f>
        <v>244.81</v>
      </c>
      <c r="M83" s="31">
        <f>K83-L83</f>
        <v>766.19</v>
      </c>
      <c r="N83" s="32">
        <f>VLOOKUP(K83,Tarifa1,3)</f>
        <v>6.4000000000000001E-2</v>
      </c>
      <c r="O83" s="31">
        <f>M83*N83</f>
        <v>49.036160000000002</v>
      </c>
      <c r="P83" s="31">
        <f>VLOOKUP(K83,Tarifa1,2)</f>
        <v>4.6500000000000004</v>
      </c>
      <c r="Q83" s="31">
        <f>O83+P83</f>
        <v>53.686160000000001</v>
      </c>
      <c r="R83" s="31">
        <f>VLOOKUP(K83,Credito1,2)</f>
        <v>200.7</v>
      </c>
      <c r="S83" s="31">
        <f>Q83-R83</f>
        <v>-147.01383999999999</v>
      </c>
      <c r="T83" s="33"/>
      <c r="U83" s="29">
        <f>-IF(S83&gt;0,0,S83)</f>
        <v>147.01383999999999</v>
      </c>
      <c r="V83" s="34">
        <f>IF(S83&lt;0,0,S83)</f>
        <v>0</v>
      </c>
      <c r="W83" s="35">
        <v>0</v>
      </c>
      <c r="X83" s="29">
        <f>SUM(V83:W83)</f>
        <v>0</v>
      </c>
      <c r="Y83" s="89">
        <f>H83+U83-X83</f>
        <v>1158.0138400000001</v>
      </c>
    </row>
    <row r="84" spans="1:25" s="19" customFormat="1" x14ac:dyDescent="0.25">
      <c r="A84" s="95"/>
      <c r="B84" s="55" t="s">
        <v>211</v>
      </c>
      <c r="C84" s="56"/>
      <c r="D84" s="54"/>
      <c r="E84" s="36"/>
      <c r="F84" s="36"/>
      <c r="G84" s="36"/>
      <c r="H84" s="36"/>
      <c r="I84" s="36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37"/>
      <c r="U84" s="36"/>
      <c r="V84" s="36"/>
      <c r="W84" s="36"/>
      <c r="X84" s="36"/>
      <c r="Y84" s="96"/>
    </row>
    <row r="85" spans="1:25" s="19" customFormat="1" ht="26.25" x14ac:dyDescent="0.25">
      <c r="A85" s="88">
        <v>54</v>
      </c>
      <c r="B85" s="26" t="s">
        <v>212</v>
      </c>
      <c r="C85" s="26" t="s">
        <v>213</v>
      </c>
      <c r="D85" s="25">
        <v>15</v>
      </c>
      <c r="E85" s="27">
        <f t="shared" ref="E85:E95" si="22">F85/15</f>
        <v>76.599999999999994</v>
      </c>
      <c r="F85" s="39">
        <v>1149</v>
      </c>
      <c r="G85" s="29">
        <v>0</v>
      </c>
      <c r="H85" s="29">
        <f t="shared" ref="H85:H91" si="23">TRUNC(SUM(D85*E85)+G85,2)</f>
        <v>1149</v>
      </c>
      <c r="I85" s="30"/>
      <c r="J85" s="31">
        <v>0</v>
      </c>
      <c r="K85" s="31">
        <f t="shared" ref="K85:K91" si="24">H85+J85</f>
        <v>1149</v>
      </c>
      <c r="L85" s="31">
        <f t="shared" ref="L85:L91" si="25">VLOOKUP(K85,Tarifa1,1)</f>
        <v>244.81</v>
      </c>
      <c r="M85" s="31">
        <f t="shared" ref="M85:M91" si="26">K85-L85</f>
        <v>904.19</v>
      </c>
      <c r="N85" s="32">
        <f t="shared" ref="N85:N91" si="27">VLOOKUP(K85,Tarifa1,3)</f>
        <v>6.4000000000000001E-2</v>
      </c>
      <c r="O85" s="31">
        <f t="shared" ref="O85:O91" si="28">M85*N85</f>
        <v>57.868160000000003</v>
      </c>
      <c r="P85" s="31">
        <f t="shared" ref="P85:P91" si="29">VLOOKUP(K85,Tarifa1,2)</f>
        <v>4.6500000000000004</v>
      </c>
      <c r="Q85" s="31">
        <f t="shared" ref="Q85:Q91" si="30">O85+P85</f>
        <v>62.518160000000002</v>
      </c>
      <c r="R85" s="31">
        <f t="shared" ref="R85:R91" si="31">VLOOKUP(K85,Credito1,2)</f>
        <v>200.7</v>
      </c>
      <c r="S85" s="31">
        <f t="shared" ref="S85:S91" si="32">Q85-R85</f>
        <v>-138.18183999999999</v>
      </c>
      <c r="T85" s="33"/>
      <c r="U85" s="29">
        <f>-IF(S85&gt;0,0,S85)</f>
        <v>138.18183999999999</v>
      </c>
      <c r="V85" s="34">
        <f>IF(S85&lt;0,0,S85)</f>
        <v>0</v>
      </c>
      <c r="W85" s="35">
        <v>0</v>
      </c>
      <c r="X85" s="29">
        <f>SUM(V85:W85)</f>
        <v>0</v>
      </c>
      <c r="Y85" s="89">
        <f>H85+U85-X85</f>
        <v>1287.18184</v>
      </c>
    </row>
    <row r="86" spans="1:25" s="19" customFormat="1" x14ac:dyDescent="0.25">
      <c r="A86" s="88">
        <v>55</v>
      </c>
      <c r="B86" s="26" t="s">
        <v>214</v>
      </c>
      <c r="C86" s="26" t="s">
        <v>215</v>
      </c>
      <c r="D86" s="25">
        <v>15</v>
      </c>
      <c r="E86" s="27">
        <f t="shared" si="22"/>
        <v>76.599999999999994</v>
      </c>
      <c r="F86" s="39">
        <v>1149</v>
      </c>
      <c r="G86" s="29">
        <v>0</v>
      </c>
      <c r="H86" s="29">
        <f t="shared" si="23"/>
        <v>1149</v>
      </c>
      <c r="I86" s="30"/>
      <c r="J86" s="31">
        <v>0</v>
      </c>
      <c r="K86" s="31">
        <f t="shared" si="24"/>
        <v>1149</v>
      </c>
      <c r="L86" s="31">
        <f t="shared" si="25"/>
        <v>244.81</v>
      </c>
      <c r="M86" s="31">
        <f t="shared" si="26"/>
        <v>904.19</v>
      </c>
      <c r="N86" s="32">
        <f t="shared" si="27"/>
        <v>6.4000000000000001E-2</v>
      </c>
      <c r="O86" s="31">
        <f t="shared" si="28"/>
        <v>57.868160000000003</v>
      </c>
      <c r="P86" s="31">
        <f t="shared" si="29"/>
        <v>4.6500000000000004</v>
      </c>
      <c r="Q86" s="31">
        <f t="shared" si="30"/>
        <v>62.518160000000002</v>
      </c>
      <c r="R86" s="31">
        <f t="shared" si="31"/>
        <v>200.7</v>
      </c>
      <c r="S86" s="31">
        <f t="shared" si="32"/>
        <v>-138.18183999999999</v>
      </c>
      <c r="T86" s="33"/>
      <c r="U86" s="29">
        <f>-IF(S86&gt;0,0,S86)</f>
        <v>138.18183999999999</v>
      </c>
      <c r="V86" s="34">
        <f>IF(S86&lt;0,0,S86)</f>
        <v>0</v>
      </c>
      <c r="W86" s="35">
        <v>0</v>
      </c>
      <c r="X86" s="29">
        <f t="shared" ref="X86:X91" si="33">SUM(V86:W86)</f>
        <v>0</v>
      </c>
      <c r="Y86" s="89">
        <f>H86+U86-X86</f>
        <v>1287.18184</v>
      </c>
    </row>
    <row r="87" spans="1:25" s="19" customFormat="1" ht="26.25" x14ac:dyDescent="0.25">
      <c r="A87" s="88">
        <v>56</v>
      </c>
      <c r="B87" s="26" t="s">
        <v>216</v>
      </c>
      <c r="C87" s="26" t="s">
        <v>217</v>
      </c>
      <c r="D87" s="25">
        <v>15</v>
      </c>
      <c r="E87" s="27">
        <f t="shared" si="22"/>
        <v>76.599999999999994</v>
      </c>
      <c r="F87" s="39">
        <v>1149</v>
      </c>
      <c r="G87" s="29">
        <v>0</v>
      </c>
      <c r="H87" s="29">
        <f t="shared" si="23"/>
        <v>1149</v>
      </c>
      <c r="I87" s="30"/>
      <c r="J87" s="31">
        <v>0</v>
      </c>
      <c r="K87" s="31">
        <f t="shared" si="24"/>
        <v>1149</v>
      </c>
      <c r="L87" s="31">
        <f t="shared" si="25"/>
        <v>244.81</v>
      </c>
      <c r="M87" s="31">
        <f t="shared" si="26"/>
        <v>904.19</v>
      </c>
      <c r="N87" s="32">
        <f t="shared" si="27"/>
        <v>6.4000000000000001E-2</v>
      </c>
      <c r="O87" s="31">
        <f t="shared" si="28"/>
        <v>57.868160000000003</v>
      </c>
      <c r="P87" s="31">
        <f t="shared" si="29"/>
        <v>4.6500000000000004</v>
      </c>
      <c r="Q87" s="31">
        <f t="shared" si="30"/>
        <v>62.518160000000002</v>
      </c>
      <c r="R87" s="31">
        <f t="shared" si="31"/>
        <v>200.7</v>
      </c>
      <c r="S87" s="31">
        <f t="shared" si="32"/>
        <v>-138.18183999999999</v>
      </c>
      <c r="T87" s="33"/>
      <c r="U87" s="29">
        <f>-IF(S87&gt;0,0,S87)</f>
        <v>138.18183999999999</v>
      </c>
      <c r="V87" s="34">
        <f>IF(S87&lt;0,0,S87)</f>
        <v>0</v>
      </c>
      <c r="W87" s="35">
        <v>0</v>
      </c>
      <c r="X87" s="29">
        <f t="shared" si="33"/>
        <v>0</v>
      </c>
      <c r="Y87" s="89">
        <f>H87+U87-X87</f>
        <v>1287.18184</v>
      </c>
    </row>
    <row r="88" spans="1:25" s="19" customFormat="1" x14ac:dyDescent="0.25">
      <c r="A88" s="88">
        <v>57</v>
      </c>
      <c r="B88" s="26" t="s">
        <v>218</v>
      </c>
      <c r="C88" s="26" t="s">
        <v>219</v>
      </c>
      <c r="D88" s="25">
        <v>15</v>
      </c>
      <c r="E88" s="27">
        <f t="shared" si="22"/>
        <v>76.599999999999994</v>
      </c>
      <c r="F88" s="39">
        <v>1149</v>
      </c>
      <c r="G88" s="29">
        <v>0</v>
      </c>
      <c r="H88" s="29">
        <f t="shared" si="23"/>
        <v>1149</v>
      </c>
      <c r="I88" s="30"/>
      <c r="J88" s="31">
        <v>0</v>
      </c>
      <c r="K88" s="31">
        <f t="shared" si="24"/>
        <v>1149</v>
      </c>
      <c r="L88" s="31">
        <f t="shared" si="25"/>
        <v>244.81</v>
      </c>
      <c r="M88" s="31">
        <f t="shared" si="26"/>
        <v>904.19</v>
      </c>
      <c r="N88" s="32">
        <f t="shared" si="27"/>
        <v>6.4000000000000001E-2</v>
      </c>
      <c r="O88" s="31">
        <f t="shared" si="28"/>
        <v>57.868160000000003</v>
      </c>
      <c r="P88" s="31">
        <f t="shared" si="29"/>
        <v>4.6500000000000004</v>
      </c>
      <c r="Q88" s="31">
        <f t="shared" si="30"/>
        <v>62.518160000000002</v>
      </c>
      <c r="R88" s="31">
        <f t="shared" si="31"/>
        <v>200.7</v>
      </c>
      <c r="S88" s="31">
        <f t="shared" si="32"/>
        <v>-138.18183999999999</v>
      </c>
      <c r="T88" s="33"/>
      <c r="U88" s="29">
        <f>-IF(S88&gt;0,0,S88)</f>
        <v>138.18183999999999</v>
      </c>
      <c r="V88" s="34">
        <f>IF(S88&lt;0,0,S88)</f>
        <v>0</v>
      </c>
      <c r="W88" s="35">
        <v>0</v>
      </c>
      <c r="X88" s="29">
        <f t="shared" si="33"/>
        <v>0</v>
      </c>
      <c r="Y88" s="89">
        <f>H88+U88-X88</f>
        <v>1287.18184</v>
      </c>
    </row>
    <row r="89" spans="1:25" s="19" customFormat="1" x14ac:dyDescent="0.25">
      <c r="A89" s="88">
        <v>58</v>
      </c>
      <c r="B89" s="26" t="s">
        <v>220</v>
      </c>
      <c r="C89" s="26" t="s">
        <v>221</v>
      </c>
      <c r="D89" s="25">
        <v>15</v>
      </c>
      <c r="E89" s="27">
        <f t="shared" si="22"/>
        <v>76.599999999999994</v>
      </c>
      <c r="F89" s="39">
        <v>1149</v>
      </c>
      <c r="G89" s="29">
        <v>0</v>
      </c>
      <c r="H89" s="29">
        <f t="shared" si="23"/>
        <v>1149</v>
      </c>
      <c r="I89" s="30"/>
      <c r="J89" s="31">
        <v>0</v>
      </c>
      <c r="K89" s="31">
        <f t="shared" si="24"/>
        <v>1149</v>
      </c>
      <c r="L89" s="31">
        <f t="shared" si="25"/>
        <v>244.81</v>
      </c>
      <c r="M89" s="31">
        <f t="shared" si="26"/>
        <v>904.19</v>
      </c>
      <c r="N89" s="32">
        <f t="shared" si="27"/>
        <v>6.4000000000000001E-2</v>
      </c>
      <c r="O89" s="31">
        <f t="shared" si="28"/>
        <v>57.868160000000003</v>
      </c>
      <c r="P89" s="31">
        <f t="shared" si="29"/>
        <v>4.6500000000000004</v>
      </c>
      <c r="Q89" s="31">
        <f t="shared" si="30"/>
        <v>62.518160000000002</v>
      </c>
      <c r="R89" s="31">
        <f t="shared" si="31"/>
        <v>200.7</v>
      </c>
      <c r="S89" s="31">
        <f t="shared" si="32"/>
        <v>-138.18183999999999</v>
      </c>
      <c r="T89" s="33"/>
      <c r="U89" s="29">
        <f>-IF(S89&gt;0,0,S89)</f>
        <v>138.18183999999999</v>
      </c>
      <c r="V89" s="34">
        <f>IF(S89&lt;0,0,S89)</f>
        <v>0</v>
      </c>
      <c r="W89" s="35">
        <v>0</v>
      </c>
      <c r="X89" s="29">
        <f t="shared" si="33"/>
        <v>0</v>
      </c>
      <c r="Y89" s="89">
        <f>H89+U89-X89</f>
        <v>1287.18184</v>
      </c>
    </row>
    <row r="90" spans="1:25" s="19" customFormat="1" x14ac:dyDescent="0.25">
      <c r="A90" s="88">
        <v>59</v>
      </c>
      <c r="B90" s="26" t="s">
        <v>222</v>
      </c>
      <c r="C90" s="26" t="s">
        <v>223</v>
      </c>
      <c r="D90" s="25">
        <v>15</v>
      </c>
      <c r="E90" s="27">
        <f t="shared" si="22"/>
        <v>76.599999999999994</v>
      </c>
      <c r="F90" s="39">
        <v>1149</v>
      </c>
      <c r="G90" s="29">
        <v>0</v>
      </c>
      <c r="H90" s="29">
        <f t="shared" si="23"/>
        <v>1149</v>
      </c>
      <c r="I90" s="30"/>
      <c r="J90" s="31">
        <v>0</v>
      </c>
      <c r="K90" s="31">
        <f t="shared" si="24"/>
        <v>1149</v>
      </c>
      <c r="L90" s="31">
        <f t="shared" si="25"/>
        <v>244.81</v>
      </c>
      <c r="M90" s="31">
        <f t="shared" si="26"/>
        <v>904.19</v>
      </c>
      <c r="N90" s="32">
        <f t="shared" si="27"/>
        <v>6.4000000000000001E-2</v>
      </c>
      <c r="O90" s="31">
        <f t="shared" si="28"/>
        <v>57.868160000000003</v>
      </c>
      <c r="P90" s="31">
        <f t="shared" si="29"/>
        <v>4.6500000000000004</v>
      </c>
      <c r="Q90" s="31">
        <f t="shared" si="30"/>
        <v>62.518160000000002</v>
      </c>
      <c r="R90" s="31">
        <f t="shared" si="31"/>
        <v>200.7</v>
      </c>
      <c r="S90" s="31">
        <f t="shared" si="32"/>
        <v>-138.18183999999999</v>
      </c>
      <c r="T90" s="33"/>
      <c r="U90" s="29">
        <f>-IF(S90&gt;0,0,S90)</f>
        <v>138.18183999999999</v>
      </c>
      <c r="V90" s="34">
        <f>IF(S90&lt;0,0,S90)</f>
        <v>0</v>
      </c>
      <c r="W90" s="35">
        <v>0</v>
      </c>
      <c r="X90" s="29">
        <f t="shared" si="33"/>
        <v>0</v>
      </c>
      <c r="Y90" s="89">
        <f>H90+U90-X90</f>
        <v>1287.18184</v>
      </c>
    </row>
    <row r="91" spans="1:25" s="19" customFormat="1" ht="26.25" x14ac:dyDescent="0.25">
      <c r="A91" s="88">
        <v>60</v>
      </c>
      <c r="B91" s="26" t="s">
        <v>224</v>
      </c>
      <c r="C91" s="26" t="s">
        <v>225</v>
      </c>
      <c r="D91" s="25">
        <v>15</v>
      </c>
      <c r="E91" s="27">
        <f t="shared" si="22"/>
        <v>76.599999999999994</v>
      </c>
      <c r="F91" s="39">
        <v>1149</v>
      </c>
      <c r="G91" s="29">
        <v>0</v>
      </c>
      <c r="H91" s="29">
        <f t="shared" si="23"/>
        <v>1149</v>
      </c>
      <c r="I91" s="30"/>
      <c r="J91" s="31">
        <v>0</v>
      </c>
      <c r="K91" s="31">
        <f t="shared" si="24"/>
        <v>1149</v>
      </c>
      <c r="L91" s="31">
        <f t="shared" si="25"/>
        <v>244.81</v>
      </c>
      <c r="M91" s="31">
        <f t="shared" si="26"/>
        <v>904.19</v>
      </c>
      <c r="N91" s="32">
        <f t="shared" si="27"/>
        <v>6.4000000000000001E-2</v>
      </c>
      <c r="O91" s="31">
        <f t="shared" si="28"/>
        <v>57.868160000000003</v>
      </c>
      <c r="P91" s="31">
        <f t="shared" si="29"/>
        <v>4.6500000000000004</v>
      </c>
      <c r="Q91" s="31">
        <f t="shared" si="30"/>
        <v>62.518160000000002</v>
      </c>
      <c r="R91" s="31">
        <f t="shared" si="31"/>
        <v>200.7</v>
      </c>
      <c r="S91" s="31">
        <f t="shared" si="32"/>
        <v>-138.18183999999999</v>
      </c>
      <c r="T91" s="33"/>
      <c r="U91" s="29">
        <f>-IF(S91&gt;0,0,S91)</f>
        <v>138.18183999999999</v>
      </c>
      <c r="V91" s="34">
        <f>IF(S91&lt;0,0,S91)</f>
        <v>0</v>
      </c>
      <c r="W91" s="35">
        <v>0</v>
      </c>
      <c r="X91" s="29">
        <f t="shared" si="33"/>
        <v>0</v>
      </c>
      <c r="Y91" s="89">
        <f>H91+U91-X91</f>
        <v>1287.18184</v>
      </c>
    </row>
    <row r="92" spans="1:25" s="19" customFormat="1" x14ac:dyDescent="0.25">
      <c r="A92" s="88"/>
      <c r="B92" s="40" t="s">
        <v>226</v>
      </c>
      <c r="C92" s="26"/>
      <c r="D92" s="25"/>
      <c r="E92" s="27"/>
      <c r="F92" s="39"/>
      <c r="G92" s="29"/>
      <c r="H92" s="29"/>
      <c r="I92" s="30"/>
      <c r="J92" s="31"/>
      <c r="K92" s="31"/>
      <c r="L92" s="31"/>
      <c r="M92" s="31"/>
      <c r="N92" s="32"/>
      <c r="O92" s="31"/>
      <c r="P92" s="31"/>
      <c r="Q92" s="31"/>
      <c r="R92" s="31"/>
      <c r="S92" s="31"/>
      <c r="T92" s="33"/>
      <c r="U92" s="29"/>
      <c r="V92" s="34"/>
      <c r="W92" s="35"/>
      <c r="X92" s="29"/>
      <c r="Y92" s="89"/>
    </row>
    <row r="93" spans="1:25" s="19" customFormat="1" x14ac:dyDescent="0.25">
      <c r="A93" s="88">
        <v>61</v>
      </c>
      <c r="B93" s="26" t="s">
        <v>227</v>
      </c>
      <c r="C93" s="26" t="s">
        <v>228</v>
      </c>
      <c r="D93" s="25">
        <v>15</v>
      </c>
      <c r="E93" s="27">
        <f t="shared" si="22"/>
        <v>185.66666666666666</v>
      </c>
      <c r="F93" s="39">
        <v>2785</v>
      </c>
      <c r="G93" s="29">
        <v>0</v>
      </c>
      <c r="H93" s="29">
        <f>TRUNC(SUM(D93*E93)+G93,2)</f>
        <v>2785</v>
      </c>
      <c r="I93" s="30"/>
      <c r="J93" s="31">
        <v>0</v>
      </c>
      <c r="K93" s="31">
        <f>H93+J93</f>
        <v>2785</v>
      </c>
      <c r="L93" s="31">
        <f>VLOOKUP(K93,Tarifa1,1)</f>
        <v>2077.5100000000002</v>
      </c>
      <c r="M93" s="31">
        <f>K93-L93</f>
        <v>707.48999999999978</v>
      </c>
      <c r="N93" s="32">
        <f>VLOOKUP(K93,Tarifa1,3)</f>
        <v>0.10879999999999999</v>
      </c>
      <c r="O93" s="31">
        <f>M93*N93</f>
        <v>76.974911999999975</v>
      </c>
      <c r="P93" s="31">
        <f>VLOOKUP(K93,Tarifa1,2)</f>
        <v>121.95</v>
      </c>
      <c r="Q93" s="31">
        <f>O93+P93</f>
        <v>198.92491199999998</v>
      </c>
      <c r="R93" s="31">
        <f>VLOOKUP(K93,Credito1,2)</f>
        <v>145.35</v>
      </c>
      <c r="S93" s="31">
        <f>Q93-R93</f>
        <v>53.574911999999983</v>
      </c>
      <c r="T93" s="33"/>
      <c r="U93" s="29">
        <f>-IF(S93&gt;0,0,S93)</f>
        <v>0</v>
      </c>
      <c r="V93" s="34">
        <f>IF(S93&lt;0,0,S93)</f>
        <v>53.574911999999983</v>
      </c>
      <c r="W93" s="35">
        <v>0</v>
      </c>
      <c r="X93" s="29">
        <f>SUM(V93:W93)</f>
        <v>53.574911999999983</v>
      </c>
      <c r="Y93" s="89">
        <f>H93+U93-X93</f>
        <v>2731.425088</v>
      </c>
    </row>
    <row r="94" spans="1:25" s="19" customFormat="1" x14ac:dyDescent="0.25">
      <c r="A94" s="88">
        <v>62</v>
      </c>
      <c r="B94" s="26" t="s">
        <v>229</v>
      </c>
      <c r="C94" s="26" t="s">
        <v>230</v>
      </c>
      <c r="D94" s="25">
        <v>15</v>
      </c>
      <c r="E94" s="27">
        <f t="shared" si="22"/>
        <v>228.93333333333334</v>
      </c>
      <c r="F94" s="39">
        <v>3434</v>
      </c>
      <c r="G94" s="29">
        <v>0</v>
      </c>
      <c r="H94" s="29">
        <f>TRUNC(SUM(D94*E94)+G94,2)</f>
        <v>3434</v>
      </c>
      <c r="I94" s="30"/>
      <c r="J94" s="31">
        <v>0</v>
      </c>
      <c r="K94" s="31">
        <f>H94+J94</f>
        <v>3434</v>
      </c>
      <c r="L94" s="31">
        <f>VLOOKUP(K94,Tarifa1,1)</f>
        <v>2077.5100000000002</v>
      </c>
      <c r="M94" s="31">
        <f>K94-L94</f>
        <v>1356.4899999999998</v>
      </c>
      <c r="N94" s="32">
        <f>VLOOKUP(K94,Tarifa1,3)</f>
        <v>0.10879999999999999</v>
      </c>
      <c r="O94" s="31">
        <f>M94*N94</f>
        <v>147.58611199999996</v>
      </c>
      <c r="P94" s="31">
        <f>VLOOKUP(K94,Tarifa1,2)</f>
        <v>121.95</v>
      </c>
      <c r="Q94" s="31">
        <f>O94+P94</f>
        <v>269.53611199999995</v>
      </c>
      <c r="R94" s="31">
        <f>VLOOKUP(K94,Credito1,2)</f>
        <v>125.1</v>
      </c>
      <c r="S94" s="31">
        <f>Q94-R94</f>
        <v>144.43611199999995</v>
      </c>
      <c r="T94" s="33"/>
      <c r="U94" s="29">
        <f>-IF(S94&gt;0,0,S94)</f>
        <v>0</v>
      </c>
      <c r="V94" s="34">
        <f>IF(S94&lt;0,0,S94)</f>
        <v>144.43611199999995</v>
      </c>
      <c r="W94" s="35">
        <v>0</v>
      </c>
      <c r="X94" s="29">
        <f>SUM(V94:W94)</f>
        <v>144.43611199999995</v>
      </c>
      <c r="Y94" s="89">
        <f>H94+U94-X94</f>
        <v>3289.5638880000001</v>
      </c>
    </row>
    <row r="95" spans="1:25" s="19" customFormat="1" x14ac:dyDescent="0.25">
      <c r="A95" s="88">
        <v>63</v>
      </c>
      <c r="B95" s="26" t="s">
        <v>231</v>
      </c>
      <c r="C95" s="26" t="s">
        <v>232</v>
      </c>
      <c r="D95" s="25">
        <v>15</v>
      </c>
      <c r="E95" s="27">
        <f t="shared" si="22"/>
        <v>185.66666666666666</v>
      </c>
      <c r="F95" s="39">
        <v>2785</v>
      </c>
      <c r="G95" s="29">
        <v>0</v>
      </c>
      <c r="H95" s="29">
        <f>TRUNC(SUM(D95*E95)+G95,2)</f>
        <v>2785</v>
      </c>
      <c r="I95" s="30"/>
      <c r="J95" s="31">
        <v>0</v>
      </c>
      <c r="K95" s="31">
        <f>H95+J95</f>
        <v>2785</v>
      </c>
      <c r="L95" s="31">
        <f>VLOOKUP(K95,Tarifa1,1)</f>
        <v>2077.5100000000002</v>
      </c>
      <c r="M95" s="31">
        <f>K95-L95</f>
        <v>707.48999999999978</v>
      </c>
      <c r="N95" s="32">
        <f>VLOOKUP(K95,Tarifa1,3)</f>
        <v>0.10879999999999999</v>
      </c>
      <c r="O95" s="31">
        <f>M95*N95</f>
        <v>76.974911999999975</v>
      </c>
      <c r="P95" s="31">
        <f>VLOOKUP(K95,Tarifa1,2)</f>
        <v>121.95</v>
      </c>
      <c r="Q95" s="31">
        <f>O95+P95</f>
        <v>198.92491199999998</v>
      </c>
      <c r="R95" s="31">
        <f>VLOOKUP(K95,Credito1,2)</f>
        <v>145.35</v>
      </c>
      <c r="S95" s="31">
        <f>Q95-R95</f>
        <v>53.574911999999983</v>
      </c>
      <c r="T95" s="33"/>
      <c r="U95" s="29">
        <f>-IF(S95&gt;0,0,S95)</f>
        <v>0</v>
      </c>
      <c r="V95" s="34">
        <f>IF(S95&lt;0,0,S95)</f>
        <v>53.574911999999983</v>
      </c>
      <c r="W95" s="35">
        <v>0</v>
      </c>
      <c r="X95" s="29">
        <f>SUM(V95:W95)</f>
        <v>53.574911999999983</v>
      </c>
      <c r="Y95" s="89">
        <f>H95+U95-X95</f>
        <v>2731.425088</v>
      </c>
    </row>
    <row r="96" spans="1:25" s="19" customFormat="1" x14ac:dyDescent="0.25">
      <c r="A96" s="97"/>
      <c r="B96" s="22" t="s">
        <v>46</v>
      </c>
      <c r="C96" s="22" t="s">
        <v>47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98"/>
    </row>
    <row r="97" spans="1:25" s="19" customFormat="1" x14ac:dyDescent="0.25">
      <c r="A97" s="99"/>
      <c r="B97" s="59" t="s">
        <v>48</v>
      </c>
      <c r="C97" s="59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100"/>
    </row>
    <row r="98" spans="1:25" s="19" customFormat="1" x14ac:dyDescent="0.25">
      <c r="A98" s="101"/>
      <c r="B98" s="44"/>
      <c r="C98" s="26"/>
      <c r="D98" s="25"/>
      <c r="E98" s="27"/>
      <c r="F98" s="28"/>
      <c r="G98" s="42"/>
      <c r="H98" s="47"/>
      <c r="I98" s="48"/>
      <c r="J98" s="49"/>
      <c r="K98" s="49"/>
      <c r="L98" s="49"/>
      <c r="M98" s="49"/>
      <c r="N98" s="50"/>
      <c r="O98" s="49"/>
      <c r="P98" s="49"/>
      <c r="Q98" s="49"/>
      <c r="R98" s="49"/>
      <c r="S98" s="49"/>
      <c r="T98" s="51"/>
      <c r="U98" s="47"/>
      <c r="V98" s="52"/>
      <c r="W98" s="53"/>
      <c r="X98" s="47"/>
      <c r="Y98" s="94"/>
    </row>
    <row r="99" spans="1:25" s="19" customFormat="1" x14ac:dyDescent="0.25">
      <c r="A99" s="101">
        <v>64</v>
      </c>
      <c r="B99" s="26" t="s">
        <v>49</v>
      </c>
      <c r="C99" s="26" t="s">
        <v>50</v>
      </c>
      <c r="D99" s="25">
        <v>15</v>
      </c>
      <c r="E99" s="27">
        <f>F99/15</f>
        <v>109.6</v>
      </c>
      <c r="F99" s="39">
        <v>1644</v>
      </c>
      <c r="G99" s="29">
        <v>0</v>
      </c>
      <c r="H99" s="29">
        <f>TRUNC(SUM(D99*E99)+G99,2)</f>
        <v>1644</v>
      </c>
      <c r="I99" s="30"/>
      <c r="J99" s="31">
        <v>0</v>
      </c>
      <c r="K99" s="31">
        <f>H99+J99</f>
        <v>1644</v>
      </c>
      <c r="L99" s="31">
        <f>IF(H99=0,0,VLOOKUP(K99,Tarifa1,1))</f>
        <v>244.81</v>
      </c>
      <c r="M99" s="31">
        <f>K99-L99</f>
        <v>1399.19</v>
      </c>
      <c r="N99" s="32">
        <f>VLOOKUP(K99,Tarifa1,3)</f>
        <v>6.4000000000000001E-2</v>
      </c>
      <c r="O99" s="31">
        <f>M99*N99</f>
        <v>89.54816000000001</v>
      </c>
      <c r="P99" s="31">
        <f>VLOOKUP(K99,Tarifa1,2)</f>
        <v>4.6500000000000004</v>
      </c>
      <c r="Q99" s="31">
        <f>O99+P99</f>
        <v>94.198160000000016</v>
      </c>
      <c r="R99" s="31">
        <f>VLOOKUP(K99,Credito1,2)</f>
        <v>200.7</v>
      </c>
      <c r="S99" s="31">
        <f>Q99-R99</f>
        <v>-106.50183999999997</v>
      </c>
      <c r="T99" s="33"/>
      <c r="U99" s="29">
        <f>-IF(S99&gt;0,0,S99)</f>
        <v>106.50183999999997</v>
      </c>
      <c r="V99" s="34">
        <f>IF(S99&lt;0,0,S99)</f>
        <v>0</v>
      </c>
      <c r="W99" s="35">
        <v>0</v>
      </c>
      <c r="X99" s="29">
        <f>SUM(V99:W99)</f>
        <v>0</v>
      </c>
      <c r="Y99" s="89">
        <f>H99+U99-X99</f>
        <v>1750.5018399999999</v>
      </c>
    </row>
    <row r="100" spans="1:25" s="19" customFormat="1" x14ac:dyDescent="0.25">
      <c r="A100" s="101"/>
      <c r="B100" s="60" t="s">
        <v>51</v>
      </c>
      <c r="C100" s="26"/>
      <c r="D100" s="25"/>
      <c r="E100" s="61"/>
      <c r="F100" s="28"/>
      <c r="G100" s="42"/>
      <c r="H100" s="47"/>
      <c r="I100" s="48"/>
      <c r="J100" s="49"/>
      <c r="K100" s="49"/>
      <c r="L100" s="49"/>
      <c r="M100" s="49"/>
      <c r="N100" s="50"/>
      <c r="O100" s="49"/>
      <c r="P100" s="49"/>
      <c r="Q100" s="49"/>
      <c r="R100" s="49"/>
      <c r="S100" s="49"/>
      <c r="T100" s="51"/>
      <c r="U100" s="47"/>
      <c r="V100" s="52"/>
      <c r="W100" s="53"/>
      <c r="X100" s="47"/>
      <c r="Y100" s="94"/>
    </row>
    <row r="101" spans="1:25" s="19" customFormat="1" ht="29.25" x14ac:dyDescent="0.25">
      <c r="A101" s="101">
        <v>65</v>
      </c>
      <c r="B101" s="44" t="s">
        <v>52</v>
      </c>
      <c r="C101" s="26" t="s">
        <v>53</v>
      </c>
      <c r="D101" s="25">
        <v>15</v>
      </c>
      <c r="E101" s="27">
        <f>F101/15</f>
        <v>466.66666666666669</v>
      </c>
      <c r="F101" s="28">
        <v>7000</v>
      </c>
      <c r="G101" s="42">
        <v>0</v>
      </c>
      <c r="H101" s="47">
        <f>TRUNC(SUM(D101*E101)+G101,2)</f>
        <v>7000</v>
      </c>
      <c r="I101" s="48"/>
      <c r="J101" s="49">
        <v>0</v>
      </c>
      <c r="K101" s="49">
        <f>H101+J101</f>
        <v>7000</v>
      </c>
      <c r="L101" s="49">
        <f>VLOOKUP(K101,Tarifa1,1)</f>
        <v>5081.41</v>
      </c>
      <c r="M101" s="49">
        <f>K101-L101</f>
        <v>1918.5900000000001</v>
      </c>
      <c r="N101" s="50">
        <f>VLOOKUP(K101,Tarifa1,3)</f>
        <v>0.21360000000000001</v>
      </c>
      <c r="O101" s="49">
        <f>M101*N101</f>
        <v>409.81082400000008</v>
      </c>
      <c r="P101" s="49">
        <f>VLOOKUP(K101,Tarifa1,2)</f>
        <v>538.20000000000005</v>
      </c>
      <c r="Q101" s="49">
        <f>O101+P101</f>
        <v>948.01082400000018</v>
      </c>
      <c r="R101" s="49">
        <f>VLOOKUP(K101,Credito1,2)</f>
        <v>0</v>
      </c>
      <c r="S101" s="49">
        <f>Q101-R101</f>
        <v>948.01082400000018</v>
      </c>
      <c r="T101" s="51"/>
      <c r="U101" s="47">
        <f>-IF(S101&gt;0,0,S101)</f>
        <v>0</v>
      </c>
      <c r="V101" s="52">
        <f>IF(S101&lt;0,0,S101)</f>
        <v>948.01082400000018</v>
      </c>
      <c r="W101" s="53">
        <v>0</v>
      </c>
      <c r="X101" s="47">
        <f>SUM(V101:W101)</f>
        <v>948.01082400000018</v>
      </c>
      <c r="Y101" s="94">
        <f>H101+U101-X101</f>
        <v>6051.989176</v>
      </c>
    </row>
    <row r="102" spans="1:25" s="19" customFormat="1" x14ac:dyDescent="0.25">
      <c r="A102" s="101"/>
      <c r="B102" s="60" t="s">
        <v>54</v>
      </c>
      <c r="C102" s="26"/>
      <c r="D102" s="25"/>
      <c r="E102" s="27"/>
      <c r="F102" s="28"/>
      <c r="G102" s="42"/>
      <c r="H102" s="47"/>
      <c r="I102" s="48"/>
      <c r="J102" s="49"/>
      <c r="K102" s="49"/>
      <c r="L102" s="49"/>
      <c r="M102" s="49"/>
      <c r="N102" s="50"/>
      <c r="O102" s="49"/>
      <c r="P102" s="49"/>
      <c r="Q102" s="49"/>
      <c r="R102" s="49"/>
      <c r="S102" s="49"/>
      <c r="T102" s="51"/>
      <c r="U102" s="47"/>
      <c r="V102" s="52"/>
      <c r="W102" s="53"/>
      <c r="X102" s="47"/>
      <c r="Y102" s="94"/>
    </row>
    <row r="103" spans="1:25" s="19" customFormat="1" ht="29.25" x14ac:dyDescent="0.25">
      <c r="A103" s="101">
        <v>66</v>
      </c>
      <c r="B103" s="44" t="s">
        <v>55</v>
      </c>
      <c r="C103" s="26" t="s">
        <v>56</v>
      </c>
      <c r="D103" s="25">
        <v>15</v>
      </c>
      <c r="E103" s="27">
        <f>F103/15</f>
        <v>333.33333333333331</v>
      </c>
      <c r="F103" s="28">
        <v>5000</v>
      </c>
      <c r="G103" s="42">
        <v>0</v>
      </c>
      <c r="H103" s="47">
        <f>TRUNC(SUM(D103*E103)+G103,2)</f>
        <v>5000</v>
      </c>
      <c r="I103" s="48"/>
      <c r="J103" s="49">
        <v>0</v>
      </c>
      <c r="K103" s="49">
        <f>H103+J103</f>
        <v>5000</v>
      </c>
      <c r="L103" s="49">
        <f>VLOOKUP(K103,Tarifa1,1)</f>
        <v>4244.1099999999997</v>
      </c>
      <c r="M103" s="49">
        <f>K103-L103</f>
        <v>755.89000000000033</v>
      </c>
      <c r="N103" s="50">
        <f>VLOOKUP(K103,Tarifa1,3)</f>
        <v>0.1792</v>
      </c>
      <c r="O103" s="49">
        <f>M103*N103</f>
        <v>135.45548800000006</v>
      </c>
      <c r="P103" s="49">
        <f>VLOOKUP(K103,Tarifa1,2)</f>
        <v>388.05</v>
      </c>
      <c r="Q103" s="49">
        <f>O103+P103</f>
        <v>523.50548800000001</v>
      </c>
      <c r="R103" s="49">
        <f>VLOOKUP(K103,Credito1,2)</f>
        <v>0</v>
      </c>
      <c r="S103" s="49">
        <f>Q103-R103</f>
        <v>523.50548800000001</v>
      </c>
      <c r="T103" s="51"/>
      <c r="U103" s="47">
        <f>-IF(S103&gt;0,0,S103)</f>
        <v>0</v>
      </c>
      <c r="V103" s="52">
        <f>IF(S103&lt;0,0,S103)</f>
        <v>523.50548800000001</v>
      </c>
      <c r="W103" s="53">
        <v>0</v>
      </c>
      <c r="X103" s="47">
        <f>SUM(V103:W103)</f>
        <v>523.50548800000001</v>
      </c>
      <c r="Y103" s="94">
        <f>H103+U103-X103</f>
        <v>4476.4945120000002</v>
      </c>
    </row>
    <row r="104" spans="1:25" s="19" customFormat="1" ht="30" x14ac:dyDescent="0.25">
      <c r="A104" s="101"/>
      <c r="B104" s="60" t="s">
        <v>57</v>
      </c>
      <c r="C104" s="26"/>
      <c r="D104" s="25"/>
      <c r="E104" s="27"/>
      <c r="F104" s="28"/>
      <c r="G104" s="42"/>
      <c r="H104" s="47"/>
      <c r="I104" s="48"/>
      <c r="J104" s="49"/>
      <c r="K104" s="49"/>
      <c r="L104" s="49"/>
      <c r="M104" s="49"/>
      <c r="N104" s="50"/>
      <c r="O104" s="49"/>
      <c r="P104" s="49"/>
      <c r="Q104" s="49"/>
      <c r="R104" s="49"/>
      <c r="S104" s="49"/>
      <c r="T104" s="51"/>
      <c r="U104" s="47"/>
      <c r="V104" s="52"/>
      <c r="W104" s="53"/>
      <c r="X104" s="47"/>
      <c r="Y104" s="94"/>
    </row>
    <row r="105" spans="1:25" s="19" customFormat="1" x14ac:dyDescent="0.25">
      <c r="A105" s="101">
        <v>65</v>
      </c>
      <c r="B105" s="44" t="s">
        <v>58</v>
      </c>
      <c r="C105" s="26" t="s">
        <v>59</v>
      </c>
      <c r="D105" s="25">
        <v>15</v>
      </c>
      <c r="E105" s="27">
        <f>F105/15</f>
        <v>178.53333333333333</v>
      </c>
      <c r="F105" s="28">
        <v>2678</v>
      </c>
      <c r="G105" s="42">
        <v>0</v>
      </c>
      <c r="H105" s="47">
        <f>TRUNC(SUM(D105*E105)+G105,2)</f>
        <v>2678</v>
      </c>
      <c r="I105" s="48"/>
      <c r="J105" s="49">
        <v>0</v>
      </c>
      <c r="K105" s="49">
        <f>H105+J105</f>
        <v>2678</v>
      </c>
      <c r="L105" s="49">
        <f>VLOOKUP(K105,Tarifa1,1)</f>
        <v>2077.5100000000002</v>
      </c>
      <c r="M105" s="49">
        <f>K105-L105</f>
        <v>600.48999999999978</v>
      </c>
      <c r="N105" s="50">
        <f>VLOOKUP(K105,Tarifa1,3)</f>
        <v>0.10879999999999999</v>
      </c>
      <c r="O105" s="49">
        <f>M105*N105</f>
        <v>65.333311999999978</v>
      </c>
      <c r="P105" s="49">
        <f>VLOOKUP(K105,Tarifa1,2)</f>
        <v>121.95</v>
      </c>
      <c r="Q105" s="49">
        <f>O105+P105</f>
        <v>187.28331199999997</v>
      </c>
      <c r="R105" s="49">
        <f>VLOOKUP(K105,Credito1,2)</f>
        <v>145.35</v>
      </c>
      <c r="S105" s="49">
        <f>Q105-R105</f>
        <v>41.933311999999972</v>
      </c>
      <c r="T105" s="51"/>
      <c r="U105" s="47">
        <f>-IF(S105&gt;0,0,S105)</f>
        <v>0</v>
      </c>
      <c r="V105" s="52">
        <f>IF(S105&lt;0,0,S105)</f>
        <v>41.933311999999972</v>
      </c>
      <c r="W105" s="53">
        <v>0</v>
      </c>
      <c r="X105" s="47">
        <f>SUM(V105:W105)</f>
        <v>41.933311999999972</v>
      </c>
      <c r="Y105" s="94">
        <f>H105+U105-X105</f>
        <v>2636.0666879999999</v>
      </c>
    </row>
    <row r="106" spans="1:25" s="19" customFormat="1" x14ac:dyDescent="0.25">
      <c r="A106" s="101"/>
      <c r="B106" s="60" t="s">
        <v>60</v>
      </c>
      <c r="C106" s="26"/>
      <c r="D106" s="25"/>
      <c r="E106" s="61"/>
      <c r="F106" s="28"/>
      <c r="G106" s="42"/>
      <c r="H106" s="47"/>
      <c r="I106" s="48"/>
      <c r="J106" s="49"/>
      <c r="K106" s="49"/>
      <c r="L106" s="49"/>
      <c r="M106" s="49"/>
      <c r="N106" s="50"/>
      <c r="O106" s="49"/>
      <c r="P106" s="49"/>
      <c r="Q106" s="49"/>
      <c r="R106" s="49"/>
      <c r="S106" s="49"/>
      <c r="T106" s="51"/>
      <c r="U106" s="47"/>
      <c r="V106" s="52"/>
      <c r="W106" s="53"/>
      <c r="X106" s="47"/>
      <c r="Y106" s="94"/>
    </row>
    <row r="107" spans="1:25" s="19" customFormat="1" ht="29.25" x14ac:dyDescent="0.25">
      <c r="A107" s="101">
        <v>66</v>
      </c>
      <c r="B107" s="44" t="s">
        <v>61</v>
      </c>
      <c r="C107" s="26" t="s">
        <v>62</v>
      </c>
      <c r="D107" s="25">
        <v>15</v>
      </c>
      <c r="E107" s="27">
        <f>F107/15</f>
        <v>123.53333333333333</v>
      </c>
      <c r="F107" s="28">
        <v>1853</v>
      </c>
      <c r="G107" s="42">
        <v>0</v>
      </c>
      <c r="H107" s="47">
        <f>TRUNC(SUM(D107*E107)+G107,2)</f>
        <v>1853</v>
      </c>
      <c r="I107" s="48"/>
      <c r="J107" s="49">
        <v>0</v>
      </c>
      <c r="K107" s="49">
        <f>H107+J107</f>
        <v>1853</v>
      </c>
      <c r="L107" s="49">
        <f>VLOOKUP(K107,Tarifa1,1)</f>
        <v>244.81</v>
      </c>
      <c r="M107" s="49">
        <f>K107-L107</f>
        <v>1608.19</v>
      </c>
      <c r="N107" s="50">
        <f>VLOOKUP(K107,Tarifa1,3)</f>
        <v>6.4000000000000001E-2</v>
      </c>
      <c r="O107" s="49">
        <f>M107*N107</f>
        <v>102.92416</v>
      </c>
      <c r="P107" s="49">
        <f>VLOOKUP(K107,Tarifa1,2)</f>
        <v>4.6500000000000004</v>
      </c>
      <c r="Q107" s="49">
        <f>O107+P107</f>
        <v>107.57416000000001</v>
      </c>
      <c r="R107" s="49">
        <f>VLOOKUP(K107,Credito1,2)</f>
        <v>188.7</v>
      </c>
      <c r="S107" s="49">
        <f>Q107-R107</f>
        <v>-81.125839999999982</v>
      </c>
      <c r="T107" s="51"/>
      <c r="U107" s="47">
        <f>-IF(S107&gt;0,0,S107)</f>
        <v>81.125839999999982</v>
      </c>
      <c r="V107" s="52">
        <f>IF(S107&lt;0,0,S107)</f>
        <v>0</v>
      </c>
      <c r="W107" s="53">
        <v>0</v>
      </c>
      <c r="X107" s="47">
        <f>SUM(V107:W107)</f>
        <v>0</v>
      </c>
      <c r="Y107" s="94">
        <f>H107+U107-X107</f>
        <v>1934.1258399999999</v>
      </c>
    </row>
    <row r="108" spans="1:25" s="19" customFormat="1" x14ac:dyDescent="0.25">
      <c r="A108" s="101">
        <v>67</v>
      </c>
      <c r="B108" s="44" t="s">
        <v>63</v>
      </c>
      <c r="C108" s="26" t="s">
        <v>64</v>
      </c>
      <c r="D108" s="25">
        <v>15</v>
      </c>
      <c r="E108" s="27">
        <f>F108/15</f>
        <v>178.53333333333333</v>
      </c>
      <c r="F108" s="28">
        <v>2678</v>
      </c>
      <c r="G108" s="42">
        <v>0</v>
      </c>
      <c r="H108" s="47">
        <f>TRUNC(SUM(D108*E108)+G108,2)</f>
        <v>2678</v>
      </c>
      <c r="I108" s="48"/>
      <c r="J108" s="49">
        <v>0</v>
      </c>
      <c r="K108" s="49">
        <f>H108+J108</f>
        <v>2678</v>
      </c>
      <c r="L108" s="49">
        <f>VLOOKUP(K108,Tarifa1,1)</f>
        <v>2077.5100000000002</v>
      </c>
      <c r="M108" s="49">
        <f>K108-L108</f>
        <v>600.48999999999978</v>
      </c>
      <c r="N108" s="50">
        <f>VLOOKUP(K108,Tarifa1,3)</f>
        <v>0.10879999999999999</v>
      </c>
      <c r="O108" s="49">
        <f>M108*N108</f>
        <v>65.333311999999978</v>
      </c>
      <c r="P108" s="49">
        <f>VLOOKUP(K108,Tarifa1,2)</f>
        <v>121.95</v>
      </c>
      <c r="Q108" s="49">
        <f>O108+P108</f>
        <v>187.28331199999997</v>
      </c>
      <c r="R108" s="49">
        <f>VLOOKUP(K108,Credito1,2)</f>
        <v>145.35</v>
      </c>
      <c r="S108" s="49">
        <f>Q108-R108</f>
        <v>41.933311999999972</v>
      </c>
      <c r="T108" s="51"/>
      <c r="U108" s="47">
        <f>-IF(S108&gt;0,0,S108)</f>
        <v>0</v>
      </c>
      <c r="V108" s="52">
        <f>IF(S108&lt;0,0,S108)</f>
        <v>41.933311999999972</v>
      </c>
      <c r="W108" s="53">
        <v>0</v>
      </c>
      <c r="X108" s="47">
        <f>SUM(V108:W108)</f>
        <v>41.933311999999972</v>
      </c>
      <c r="Y108" s="94">
        <f>H108+U108-X108</f>
        <v>2636.0666879999999</v>
      </c>
    </row>
    <row r="109" spans="1:25" s="19" customFormat="1" ht="30" x14ac:dyDescent="0.25">
      <c r="A109" s="101"/>
      <c r="B109" s="60" t="s">
        <v>65</v>
      </c>
      <c r="C109" s="26"/>
      <c r="D109" s="25"/>
      <c r="E109" s="61"/>
      <c r="F109" s="28"/>
      <c r="G109" s="42"/>
      <c r="H109" s="47"/>
      <c r="I109" s="48"/>
      <c r="J109" s="49"/>
      <c r="K109" s="49"/>
      <c r="L109" s="49"/>
      <c r="M109" s="49"/>
      <c r="N109" s="50"/>
      <c r="O109" s="49"/>
      <c r="P109" s="49"/>
      <c r="Q109" s="49"/>
      <c r="R109" s="49"/>
      <c r="S109" s="49"/>
      <c r="T109" s="51"/>
      <c r="U109" s="47"/>
      <c r="V109" s="52"/>
      <c r="W109" s="53"/>
      <c r="X109" s="47"/>
      <c r="Y109" s="94"/>
    </row>
    <row r="110" spans="1:25" s="19" customFormat="1" x14ac:dyDescent="0.25">
      <c r="A110" s="101">
        <v>68</v>
      </c>
      <c r="B110" s="44" t="s">
        <v>66</v>
      </c>
      <c r="C110" s="26" t="s">
        <v>67</v>
      </c>
      <c r="D110" s="25">
        <v>15</v>
      </c>
      <c r="E110" s="27">
        <f t="shared" ref="E110:E115" si="34">F110/15</f>
        <v>123.53333333333333</v>
      </c>
      <c r="F110" s="28">
        <v>1853</v>
      </c>
      <c r="G110" s="42">
        <v>0</v>
      </c>
      <c r="H110" s="47">
        <f>TRUNC(SUM(D110*E110)+G110,2)</f>
        <v>1853</v>
      </c>
      <c r="I110" s="48"/>
      <c r="J110" s="49">
        <v>0</v>
      </c>
      <c r="K110" s="49">
        <f>H110+J110</f>
        <v>1853</v>
      </c>
      <c r="L110" s="49">
        <f>VLOOKUP(K110,Tarifa1,1)</f>
        <v>244.81</v>
      </c>
      <c r="M110" s="49">
        <f>K110-L110</f>
        <v>1608.19</v>
      </c>
      <c r="N110" s="50">
        <f>VLOOKUP(K110,Tarifa1,3)</f>
        <v>6.4000000000000001E-2</v>
      </c>
      <c r="O110" s="49">
        <f>M110*N110</f>
        <v>102.92416</v>
      </c>
      <c r="P110" s="49">
        <f>VLOOKUP(K110,Tarifa1,2)</f>
        <v>4.6500000000000004</v>
      </c>
      <c r="Q110" s="49">
        <f>O110+P110</f>
        <v>107.57416000000001</v>
      </c>
      <c r="R110" s="49">
        <f>VLOOKUP(K110,Credito1,2)</f>
        <v>188.7</v>
      </c>
      <c r="S110" s="49">
        <f>Q110-R110</f>
        <v>-81.125839999999982</v>
      </c>
      <c r="T110" s="51"/>
      <c r="U110" s="47">
        <f>-IF(S110&gt;0,0,S110)</f>
        <v>81.125839999999982</v>
      </c>
      <c r="V110" s="52">
        <f>IF(S110&lt;0,0,S110)</f>
        <v>0</v>
      </c>
      <c r="W110" s="53">
        <v>0</v>
      </c>
      <c r="X110" s="47">
        <f>SUM(V110:W110)</f>
        <v>0</v>
      </c>
      <c r="Y110" s="94">
        <f>H110+U110-X110</f>
        <v>1934.1258399999999</v>
      </c>
    </row>
    <row r="111" spans="1:25" s="19" customFormat="1" ht="30" x14ac:dyDescent="0.25">
      <c r="A111" s="101"/>
      <c r="B111" s="60" t="s">
        <v>68</v>
      </c>
      <c r="C111" s="26"/>
      <c r="D111" s="25"/>
      <c r="E111" s="61"/>
      <c r="F111" s="28"/>
      <c r="G111" s="42"/>
      <c r="H111" s="47"/>
      <c r="I111" s="48"/>
      <c r="J111" s="49"/>
      <c r="K111" s="49"/>
      <c r="L111" s="49"/>
      <c r="M111" s="49"/>
      <c r="N111" s="50"/>
      <c r="O111" s="49"/>
      <c r="P111" s="49"/>
      <c r="Q111" s="49"/>
      <c r="R111" s="49"/>
      <c r="S111" s="49"/>
      <c r="T111" s="51"/>
      <c r="U111" s="47"/>
      <c r="V111" s="52"/>
      <c r="W111" s="53"/>
      <c r="X111" s="47"/>
      <c r="Y111" s="94"/>
    </row>
    <row r="112" spans="1:25" s="19" customFormat="1" x14ac:dyDescent="0.25">
      <c r="A112" s="101">
        <v>69</v>
      </c>
      <c r="B112" s="44" t="s">
        <v>69</v>
      </c>
      <c r="C112" s="26" t="s">
        <v>67</v>
      </c>
      <c r="D112" s="25">
        <v>15</v>
      </c>
      <c r="E112" s="27">
        <f t="shared" si="34"/>
        <v>171.66666666666666</v>
      </c>
      <c r="F112" s="28">
        <v>2575</v>
      </c>
      <c r="G112" s="42">
        <v>0</v>
      </c>
      <c r="H112" s="47">
        <f>TRUNC(SUM(D112*E112)+G112,2)</f>
        <v>2575</v>
      </c>
      <c r="I112" s="48"/>
      <c r="J112" s="49">
        <v>0</v>
      </c>
      <c r="K112" s="49">
        <f>H112+J112</f>
        <v>2575</v>
      </c>
      <c r="L112" s="49">
        <f>VLOOKUP(K112,Tarifa1,1)</f>
        <v>2077.5100000000002</v>
      </c>
      <c r="M112" s="49">
        <f>K112-L112</f>
        <v>497.48999999999978</v>
      </c>
      <c r="N112" s="50">
        <f>VLOOKUP(K112,Tarifa1,3)</f>
        <v>0.10879999999999999</v>
      </c>
      <c r="O112" s="49">
        <f>M112*N112</f>
        <v>54.126911999999976</v>
      </c>
      <c r="P112" s="49">
        <f>VLOOKUP(K112,Tarifa1,2)</f>
        <v>121.95</v>
      </c>
      <c r="Q112" s="49">
        <f>O112+P112</f>
        <v>176.07691199999999</v>
      </c>
      <c r="R112" s="49">
        <f>VLOOKUP(K112,Credito1,2)</f>
        <v>160.35</v>
      </c>
      <c r="S112" s="49">
        <f>Q112-R112</f>
        <v>15.726911999999999</v>
      </c>
      <c r="T112" s="51"/>
      <c r="U112" s="47">
        <f>-IF(S112&gt;0,0,S112)</f>
        <v>0</v>
      </c>
      <c r="V112" s="52">
        <f>IF(S112&lt;0,0,S112)</f>
        <v>15.726911999999999</v>
      </c>
      <c r="W112" s="53">
        <v>0</v>
      </c>
      <c r="X112" s="47">
        <f>SUM(V112:W112)</f>
        <v>15.726911999999999</v>
      </c>
      <c r="Y112" s="94">
        <f>H112+U112-X112</f>
        <v>2559.2730879999999</v>
      </c>
    </row>
    <row r="113" spans="1:25" s="19" customFormat="1" x14ac:dyDescent="0.25">
      <c r="A113" s="101"/>
      <c r="B113" s="60" t="s">
        <v>70</v>
      </c>
      <c r="C113" s="26"/>
      <c r="D113" s="25"/>
      <c r="E113" s="61"/>
      <c r="F113" s="28"/>
      <c r="G113" s="42"/>
      <c r="H113" s="47"/>
      <c r="I113" s="48"/>
      <c r="J113" s="49"/>
      <c r="K113" s="49"/>
      <c r="L113" s="49"/>
      <c r="M113" s="49"/>
      <c r="N113" s="50"/>
      <c r="O113" s="49"/>
      <c r="P113" s="49"/>
      <c r="Q113" s="49"/>
      <c r="R113" s="49"/>
      <c r="S113" s="49"/>
      <c r="T113" s="51"/>
      <c r="U113" s="47"/>
      <c r="V113" s="52"/>
      <c r="W113" s="53"/>
      <c r="X113" s="47"/>
      <c r="Y113" s="94"/>
    </row>
    <row r="114" spans="1:25" s="19" customFormat="1" x14ac:dyDescent="0.25">
      <c r="A114" s="101">
        <v>70</v>
      </c>
      <c r="B114" s="44" t="s">
        <v>71</v>
      </c>
      <c r="C114" s="26" t="s">
        <v>72</v>
      </c>
      <c r="D114" s="25">
        <v>15</v>
      </c>
      <c r="E114" s="27">
        <f t="shared" si="34"/>
        <v>126.6</v>
      </c>
      <c r="F114" s="28">
        <v>1899</v>
      </c>
      <c r="G114" s="42">
        <v>0</v>
      </c>
      <c r="H114" s="47">
        <f>TRUNC(SUM(D114*E114)+G114,2)</f>
        <v>1899</v>
      </c>
      <c r="I114" s="48"/>
      <c r="J114" s="49">
        <v>0</v>
      </c>
      <c r="K114" s="49">
        <f>H114+J114</f>
        <v>1899</v>
      </c>
      <c r="L114" s="49">
        <f>VLOOKUP(K114,Tarifa1,1)</f>
        <v>244.81</v>
      </c>
      <c r="M114" s="49">
        <f>K114-L114</f>
        <v>1654.19</v>
      </c>
      <c r="N114" s="50">
        <f>VLOOKUP(K114,Tarifa1,3)</f>
        <v>6.4000000000000001E-2</v>
      </c>
      <c r="O114" s="49">
        <f>M114*N114</f>
        <v>105.86816</v>
      </c>
      <c r="P114" s="49">
        <f>VLOOKUP(K114,Tarifa1,2)</f>
        <v>4.6500000000000004</v>
      </c>
      <c r="Q114" s="49">
        <f>O114+P114</f>
        <v>110.51816000000001</v>
      </c>
      <c r="R114" s="49">
        <f>VLOOKUP(K114,Credito1,2)</f>
        <v>188.7</v>
      </c>
      <c r="S114" s="49">
        <f>Q114-R114</f>
        <v>-78.18183999999998</v>
      </c>
      <c r="T114" s="51"/>
      <c r="U114" s="47">
        <f>-IF(S114&gt;0,0,S114)</f>
        <v>78.18183999999998</v>
      </c>
      <c r="V114" s="52">
        <f>IF(S114&lt;0,0,S114)</f>
        <v>0</v>
      </c>
      <c r="W114" s="53">
        <v>0</v>
      </c>
      <c r="X114" s="47">
        <f>SUM(V114:W114)</f>
        <v>0</v>
      </c>
      <c r="Y114" s="94">
        <f>H114+U114-X114</f>
        <v>1977.18184</v>
      </c>
    </row>
    <row r="115" spans="1:25" s="19" customFormat="1" x14ac:dyDescent="0.25">
      <c r="A115" s="101">
        <v>71</v>
      </c>
      <c r="B115" s="44" t="s">
        <v>73</v>
      </c>
      <c r="C115" s="26" t="s">
        <v>72</v>
      </c>
      <c r="D115" s="25">
        <v>15</v>
      </c>
      <c r="E115" s="27">
        <f t="shared" si="34"/>
        <v>126.6</v>
      </c>
      <c r="F115" s="28">
        <v>1899</v>
      </c>
      <c r="G115" s="42">
        <v>0</v>
      </c>
      <c r="H115" s="47">
        <f>TRUNC(SUM(D115*E115)+G115,2)</f>
        <v>1899</v>
      </c>
      <c r="I115" s="48"/>
      <c r="J115" s="49">
        <v>0</v>
      </c>
      <c r="K115" s="49">
        <f>H115+J115</f>
        <v>1899</v>
      </c>
      <c r="L115" s="49">
        <f>VLOOKUP(K115,Tarifa1,1)</f>
        <v>244.81</v>
      </c>
      <c r="M115" s="49">
        <f>K115-L115</f>
        <v>1654.19</v>
      </c>
      <c r="N115" s="50">
        <f>VLOOKUP(K115,Tarifa1,3)</f>
        <v>6.4000000000000001E-2</v>
      </c>
      <c r="O115" s="49">
        <f>M115*N115</f>
        <v>105.86816</v>
      </c>
      <c r="P115" s="49">
        <f>VLOOKUP(K115,Tarifa1,2)</f>
        <v>4.6500000000000004</v>
      </c>
      <c r="Q115" s="49">
        <f>O115+P115</f>
        <v>110.51816000000001</v>
      </c>
      <c r="R115" s="49">
        <f>VLOOKUP(K115,Credito1,2)</f>
        <v>188.7</v>
      </c>
      <c r="S115" s="49">
        <f>Q115-R115</f>
        <v>-78.18183999999998</v>
      </c>
      <c r="T115" s="51"/>
      <c r="U115" s="47">
        <f>-IF(S115&gt;0,0,S115)</f>
        <v>78.18183999999998</v>
      </c>
      <c r="V115" s="52">
        <v>0</v>
      </c>
      <c r="W115" s="53">
        <v>0</v>
      </c>
      <c r="X115" s="47">
        <f>SUM(V115:W115)</f>
        <v>0</v>
      </c>
      <c r="Y115" s="94">
        <f>H115+U115-X115</f>
        <v>1977.18184</v>
      </c>
    </row>
    <row r="116" spans="1:25" s="19" customFormat="1" x14ac:dyDescent="0.25">
      <c r="A116" s="101"/>
      <c r="B116" s="60" t="s">
        <v>74</v>
      </c>
      <c r="C116" s="26"/>
      <c r="D116" s="25"/>
      <c r="E116" s="61"/>
      <c r="F116" s="28"/>
      <c r="G116" s="42"/>
      <c r="H116" s="47"/>
      <c r="I116" s="48"/>
      <c r="J116" s="49"/>
      <c r="K116" s="49"/>
      <c r="L116" s="49"/>
      <c r="M116" s="49"/>
      <c r="N116" s="50"/>
      <c r="O116" s="49"/>
      <c r="P116" s="49"/>
      <c r="Q116" s="49"/>
      <c r="R116" s="49"/>
      <c r="S116" s="49"/>
      <c r="T116" s="51"/>
      <c r="U116" s="47"/>
      <c r="V116" s="52"/>
      <c r="W116" s="53"/>
      <c r="X116" s="47"/>
      <c r="Y116" s="94"/>
    </row>
    <row r="117" spans="1:25" s="19" customFormat="1" x14ac:dyDescent="0.25">
      <c r="A117" s="101">
        <v>72</v>
      </c>
      <c r="B117" s="44" t="s">
        <v>75</v>
      </c>
      <c r="C117" s="26" t="s">
        <v>76</v>
      </c>
      <c r="D117" s="25">
        <v>15</v>
      </c>
      <c r="E117" s="27">
        <f t="shared" ref="E117:E154" si="35">F117/15</f>
        <v>185.66666666666666</v>
      </c>
      <c r="F117" s="28">
        <v>2785</v>
      </c>
      <c r="G117" s="42">
        <v>0</v>
      </c>
      <c r="H117" s="47">
        <f t="shared" ref="H117:H129" si="36">TRUNC(SUM(D117*E117)+G117,2)</f>
        <v>2785</v>
      </c>
      <c r="I117" s="48"/>
      <c r="J117" s="49">
        <v>0</v>
      </c>
      <c r="K117" s="49">
        <f t="shared" ref="K117:K133" si="37">H117+J117</f>
        <v>2785</v>
      </c>
      <c r="L117" s="49">
        <f t="shared" ref="L117:L126" si="38">VLOOKUP(K117,Tarifa1,1)</f>
        <v>2077.5100000000002</v>
      </c>
      <c r="M117" s="49">
        <f t="shared" ref="M117:M126" si="39">K117-L117</f>
        <v>707.48999999999978</v>
      </c>
      <c r="N117" s="50">
        <f t="shared" ref="N117:N126" si="40">VLOOKUP(K117,Tarifa1,3)</f>
        <v>0.10879999999999999</v>
      </c>
      <c r="O117" s="49">
        <f t="shared" ref="O117:O126" si="41">M117*N117</f>
        <v>76.974911999999975</v>
      </c>
      <c r="P117" s="49">
        <f t="shared" ref="P117:P126" si="42">VLOOKUP(K117,Tarifa1,2)</f>
        <v>121.95</v>
      </c>
      <c r="Q117" s="49">
        <f t="shared" ref="Q117:Q126" si="43">O117+P117</f>
        <v>198.92491199999998</v>
      </c>
      <c r="R117" s="49">
        <f t="shared" ref="R117:R126" si="44">VLOOKUP(K117,Credito1,2)</f>
        <v>145.35</v>
      </c>
      <c r="S117" s="49">
        <f t="shared" ref="S117:S126" si="45">Q117-R117</f>
        <v>53.574911999999983</v>
      </c>
      <c r="T117" s="51"/>
      <c r="U117" s="47">
        <f>-IF(S117&gt;0,0,S117)</f>
        <v>0</v>
      </c>
      <c r="V117" s="52">
        <f>IF(S117&lt;0,0,S117)</f>
        <v>53.574911999999983</v>
      </c>
      <c r="W117" s="53">
        <v>0</v>
      </c>
      <c r="X117" s="47">
        <f t="shared" ref="X117:X133" si="46">SUM(V117:W117)</f>
        <v>53.574911999999983</v>
      </c>
      <c r="Y117" s="94">
        <f>H117+U117-X117</f>
        <v>2731.425088</v>
      </c>
    </row>
    <row r="118" spans="1:25" s="19" customFormat="1" x14ac:dyDescent="0.25">
      <c r="A118" s="101">
        <v>73</v>
      </c>
      <c r="B118" s="62" t="s">
        <v>77</v>
      </c>
      <c r="C118" s="26" t="s">
        <v>78</v>
      </c>
      <c r="D118" s="25">
        <v>15</v>
      </c>
      <c r="E118" s="27">
        <f t="shared" si="35"/>
        <v>126.6</v>
      </c>
      <c r="F118" s="28">
        <v>1899</v>
      </c>
      <c r="G118" s="42">
        <v>0</v>
      </c>
      <c r="H118" s="47">
        <f>TRUNC(SUM(D118*E118)+G118,2)</f>
        <v>1899</v>
      </c>
      <c r="I118" s="48"/>
      <c r="J118" s="49">
        <v>0</v>
      </c>
      <c r="K118" s="49">
        <f>H118+J118</f>
        <v>1899</v>
      </c>
      <c r="L118" s="49">
        <f t="shared" si="38"/>
        <v>244.81</v>
      </c>
      <c r="M118" s="49">
        <f t="shared" si="39"/>
        <v>1654.19</v>
      </c>
      <c r="N118" s="50">
        <f t="shared" si="40"/>
        <v>6.4000000000000001E-2</v>
      </c>
      <c r="O118" s="49">
        <f t="shared" si="41"/>
        <v>105.86816</v>
      </c>
      <c r="P118" s="49">
        <f t="shared" si="42"/>
        <v>4.6500000000000004</v>
      </c>
      <c r="Q118" s="49">
        <f t="shared" si="43"/>
        <v>110.51816000000001</v>
      </c>
      <c r="R118" s="49">
        <f t="shared" si="44"/>
        <v>188.7</v>
      </c>
      <c r="S118" s="49">
        <f t="shared" si="45"/>
        <v>-78.18183999999998</v>
      </c>
      <c r="T118" s="51"/>
      <c r="U118" s="47">
        <f>-IF(S118&gt;0,0,S118)</f>
        <v>78.18183999999998</v>
      </c>
      <c r="V118" s="52">
        <f>IF(S118&lt;0,0,S118)</f>
        <v>0</v>
      </c>
      <c r="W118" s="53">
        <v>0</v>
      </c>
      <c r="X118" s="47">
        <f>SUM(V118:W118)</f>
        <v>0</v>
      </c>
      <c r="Y118" s="94">
        <f>H118+U118-X118</f>
        <v>1977.18184</v>
      </c>
    </row>
    <row r="119" spans="1:25" s="19" customFormat="1" x14ac:dyDescent="0.25">
      <c r="A119" s="101">
        <v>74</v>
      </c>
      <c r="B119" s="62" t="s">
        <v>79</v>
      </c>
      <c r="C119" s="26" t="s">
        <v>72</v>
      </c>
      <c r="D119" s="25">
        <v>15</v>
      </c>
      <c r="E119" s="27">
        <f>F119/15</f>
        <v>171.66666666666666</v>
      </c>
      <c r="F119" s="28">
        <v>2575</v>
      </c>
      <c r="G119" s="42">
        <v>0</v>
      </c>
      <c r="H119" s="47">
        <v>2575</v>
      </c>
      <c r="I119" s="48"/>
      <c r="J119" s="49">
        <v>1</v>
      </c>
      <c r="K119" s="49">
        <f>H119+J119</f>
        <v>2576</v>
      </c>
      <c r="L119" s="49">
        <f t="shared" si="38"/>
        <v>2077.5100000000002</v>
      </c>
      <c r="M119" s="49">
        <f t="shared" si="39"/>
        <v>498.48999999999978</v>
      </c>
      <c r="N119" s="50">
        <f t="shared" si="40"/>
        <v>0.10879999999999999</v>
      </c>
      <c r="O119" s="49">
        <f t="shared" si="41"/>
        <v>54.235711999999971</v>
      </c>
      <c r="P119" s="49">
        <f t="shared" si="42"/>
        <v>121.95</v>
      </c>
      <c r="Q119" s="49">
        <f t="shared" si="43"/>
        <v>176.18571199999997</v>
      </c>
      <c r="R119" s="49">
        <f t="shared" si="44"/>
        <v>160.35</v>
      </c>
      <c r="S119" s="49">
        <f t="shared" si="45"/>
        <v>15.835711999999972</v>
      </c>
      <c r="T119" s="51"/>
      <c r="U119" s="47">
        <f>-IF(S119&gt;0,0,S119)</f>
        <v>0</v>
      </c>
      <c r="V119" s="52">
        <v>7.57</v>
      </c>
      <c r="W119" s="53">
        <v>0</v>
      </c>
      <c r="X119" s="47">
        <f>SUM(V119:W119)</f>
        <v>7.57</v>
      </c>
      <c r="Y119" s="94">
        <f>H119+U119-X119</f>
        <v>2567.4299999999998</v>
      </c>
    </row>
    <row r="120" spans="1:25" s="19" customFormat="1" x14ac:dyDescent="0.25">
      <c r="A120" s="101">
        <v>75</v>
      </c>
      <c r="B120" s="44" t="s">
        <v>80</v>
      </c>
      <c r="C120" s="26" t="s">
        <v>81</v>
      </c>
      <c r="D120" s="25">
        <v>15</v>
      </c>
      <c r="E120" s="27">
        <f>F120/15</f>
        <v>133.66666666666666</v>
      </c>
      <c r="F120" s="28">
        <v>2005</v>
      </c>
      <c r="G120" s="42">
        <v>0</v>
      </c>
      <c r="H120" s="47">
        <f>TRUNC(SUM(D120*E120)+G120,2)</f>
        <v>2005</v>
      </c>
      <c r="I120" s="48"/>
      <c r="J120" s="49">
        <v>0</v>
      </c>
      <c r="K120" s="49">
        <f>H120+J120</f>
        <v>2005</v>
      </c>
      <c r="L120" s="49">
        <f t="shared" si="38"/>
        <v>244.81</v>
      </c>
      <c r="M120" s="49">
        <f t="shared" si="39"/>
        <v>1760.19</v>
      </c>
      <c r="N120" s="50">
        <f t="shared" si="40"/>
        <v>6.4000000000000001E-2</v>
      </c>
      <c r="O120" s="49">
        <f t="shared" si="41"/>
        <v>112.65216000000001</v>
      </c>
      <c r="P120" s="49">
        <f t="shared" si="42"/>
        <v>4.6500000000000004</v>
      </c>
      <c r="Q120" s="49">
        <f t="shared" si="43"/>
        <v>117.30216000000001</v>
      </c>
      <c r="R120" s="49">
        <f t="shared" si="44"/>
        <v>188.7</v>
      </c>
      <c r="S120" s="49">
        <f t="shared" si="45"/>
        <v>-71.397839999999974</v>
      </c>
      <c r="T120" s="51"/>
      <c r="U120" s="47">
        <f>-IF(S120&gt;0,0,S120)</f>
        <v>71.397839999999974</v>
      </c>
      <c r="V120" s="52">
        <f>IF(S120&lt;0,0,S120)</f>
        <v>0</v>
      </c>
      <c r="W120" s="53">
        <v>0</v>
      </c>
      <c r="X120" s="47">
        <f>SUM(V120:W120)</f>
        <v>0</v>
      </c>
      <c r="Y120" s="94">
        <f>H120+U120-X120</f>
        <v>2076.3978400000001</v>
      </c>
    </row>
    <row r="121" spans="1:25" s="19" customFormat="1" x14ac:dyDescent="0.25">
      <c r="A121" s="101">
        <v>76</v>
      </c>
      <c r="B121" s="44" t="s">
        <v>82</v>
      </c>
      <c r="C121" s="26" t="s">
        <v>72</v>
      </c>
      <c r="D121" s="25">
        <v>15</v>
      </c>
      <c r="E121" s="27">
        <f>F121/15</f>
        <v>133.66666666666666</v>
      </c>
      <c r="F121" s="28">
        <v>2005</v>
      </c>
      <c r="G121" s="42">
        <v>0</v>
      </c>
      <c r="H121" s="47">
        <f>TRUNC(SUM(D121*E121)+G121,2)</f>
        <v>2005</v>
      </c>
      <c r="I121" s="48"/>
      <c r="J121" s="49">
        <v>0</v>
      </c>
      <c r="K121" s="49">
        <f>H121+J121</f>
        <v>2005</v>
      </c>
      <c r="L121" s="49">
        <f t="shared" si="38"/>
        <v>244.81</v>
      </c>
      <c r="M121" s="49">
        <f t="shared" si="39"/>
        <v>1760.19</v>
      </c>
      <c r="N121" s="50">
        <f t="shared" si="40"/>
        <v>6.4000000000000001E-2</v>
      </c>
      <c r="O121" s="49">
        <f t="shared" si="41"/>
        <v>112.65216000000001</v>
      </c>
      <c r="P121" s="49">
        <f t="shared" si="42"/>
        <v>4.6500000000000004</v>
      </c>
      <c r="Q121" s="49">
        <f t="shared" si="43"/>
        <v>117.30216000000001</v>
      </c>
      <c r="R121" s="49">
        <f t="shared" si="44"/>
        <v>188.7</v>
      </c>
      <c r="S121" s="49">
        <f t="shared" si="45"/>
        <v>-71.397839999999974</v>
      </c>
      <c r="T121" s="51"/>
      <c r="U121" s="47">
        <f>-IF(S121&gt;0,0,S121)</f>
        <v>71.397839999999974</v>
      </c>
      <c r="V121" s="52"/>
      <c r="W121" s="53">
        <v>0</v>
      </c>
      <c r="X121" s="47">
        <f>SUM(V121:W121)</f>
        <v>0</v>
      </c>
      <c r="Y121" s="94">
        <f>H121+U121-X121</f>
        <v>2076.3978400000001</v>
      </c>
    </row>
    <row r="122" spans="1:25" s="19" customFormat="1" x14ac:dyDescent="0.25">
      <c r="A122" s="101">
        <v>77</v>
      </c>
      <c r="B122" s="44" t="s">
        <v>83</v>
      </c>
      <c r="C122" s="26" t="s">
        <v>81</v>
      </c>
      <c r="D122" s="25">
        <v>15</v>
      </c>
      <c r="E122" s="27">
        <f>F122/15</f>
        <v>133.66666666666666</v>
      </c>
      <c r="F122" s="28">
        <v>2005</v>
      </c>
      <c r="G122" s="42">
        <v>0</v>
      </c>
      <c r="H122" s="47">
        <f>TRUNC(SUM(D122*E122)+G122,2)</f>
        <v>2005</v>
      </c>
      <c r="I122" s="48"/>
      <c r="J122" s="49">
        <v>0</v>
      </c>
      <c r="K122" s="49">
        <f>H122+J122</f>
        <v>2005</v>
      </c>
      <c r="L122" s="49">
        <f t="shared" si="38"/>
        <v>244.81</v>
      </c>
      <c r="M122" s="49">
        <f t="shared" si="39"/>
        <v>1760.19</v>
      </c>
      <c r="N122" s="50">
        <f t="shared" si="40"/>
        <v>6.4000000000000001E-2</v>
      </c>
      <c r="O122" s="49">
        <f t="shared" si="41"/>
        <v>112.65216000000001</v>
      </c>
      <c r="P122" s="49">
        <f t="shared" si="42"/>
        <v>4.6500000000000004</v>
      </c>
      <c r="Q122" s="49">
        <f t="shared" si="43"/>
        <v>117.30216000000001</v>
      </c>
      <c r="R122" s="49">
        <f t="shared" si="44"/>
        <v>188.7</v>
      </c>
      <c r="S122" s="49">
        <f t="shared" si="45"/>
        <v>-71.397839999999974</v>
      </c>
      <c r="T122" s="51"/>
      <c r="U122" s="47">
        <f>-IF(S122&gt;0,0,S122)</f>
        <v>71.397839999999974</v>
      </c>
      <c r="V122" s="52">
        <f>IF(S122&lt;0,0,S122)</f>
        <v>0</v>
      </c>
      <c r="W122" s="53">
        <v>0</v>
      </c>
      <c r="X122" s="47">
        <f>SUM(V122:W122)</f>
        <v>0</v>
      </c>
      <c r="Y122" s="94">
        <f>H122+U122-X122</f>
        <v>2076.3978400000001</v>
      </c>
    </row>
    <row r="123" spans="1:25" s="19" customFormat="1" x14ac:dyDescent="0.25">
      <c r="A123" s="101">
        <v>78</v>
      </c>
      <c r="B123" s="44" t="s">
        <v>84</v>
      </c>
      <c r="C123" s="26" t="s">
        <v>72</v>
      </c>
      <c r="D123" s="25">
        <v>15</v>
      </c>
      <c r="E123" s="27">
        <f t="shared" si="35"/>
        <v>133.66666666666666</v>
      </c>
      <c r="F123" s="28">
        <v>2005</v>
      </c>
      <c r="G123" s="42">
        <v>0</v>
      </c>
      <c r="H123" s="47">
        <f t="shared" si="36"/>
        <v>2005</v>
      </c>
      <c r="I123" s="48"/>
      <c r="J123" s="49">
        <v>0</v>
      </c>
      <c r="K123" s="49">
        <f t="shared" si="37"/>
        <v>2005</v>
      </c>
      <c r="L123" s="49">
        <f t="shared" si="38"/>
        <v>244.81</v>
      </c>
      <c r="M123" s="49">
        <f t="shared" si="39"/>
        <v>1760.19</v>
      </c>
      <c r="N123" s="50">
        <f t="shared" si="40"/>
        <v>6.4000000000000001E-2</v>
      </c>
      <c r="O123" s="49">
        <f t="shared" si="41"/>
        <v>112.65216000000001</v>
      </c>
      <c r="P123" s="49">
        <f t="shared" si="42"/>
        <v>4.6500000000000004</v>
      </c>
      <c r="Q123" s="49">
        <f t="shared" si="43"/>
        <v>117.30216000000001</v>
      </c>
      <c r="R123" s="49">
        <f t="shared" si="44"/>
        <v>188.7</v>
      </c>
      <c r="S123" s="49">
        <f t="shared" si="45"/>
        <v>-71.397839999999974</v>
      </c>
      <c r="T123" s="51"/>
      <c r="U123" s="47">
        <f>-IF(S123&gt;0,0,S123)</f>
        <v>71.397839999999974</v>
      </c>
      <c r="V123" s="52">
        <f>IF(S123&lt;0,0,S123)</f>
        <v>0</v>
      </c>
      <c r="W123" s="53">
        <v>0</v>
      </c>
      <c r="X123" s="47">
        <f t="shared" si="46"/>
        <v>0</v>
      </c>
      <c r="Y123" s="94">
        <f>H123+U123-X123</f>
        <v>2076.3978400000001</v>
      </c>
    </row>
    <row r="124" spans="1:25" s="19" customFormat="1" ht="29.25" x14ac:dyDescent="0.25">
      <c r="A124" s="101">
        <v>79</v>
      </c>
      <c r="B124" s="44" t="s">
        <v>85</v>
      </c>
      <c r="C124" s="26" t="s">
        <v>72</v>
      </c>
      <c r="D124" s="25">
        <v>15</v>
      </c>
      <c r="E124" s="27">
        <f t="shared" si="35"/>
        <v>185.66666666666666</v>
      </c>
      <c r="F124" s="28">
        <v>2785</v>
      </c>
      <c r="G124" s="42">
        <v>0</v>
      </c>
      <c r="H124" s="47">
        <f t="shared" si="36"/>
        <v>2785</v>
      </c>
      <c r="I124" s="48"/>
      <c r="J124" s="49">
        <v>0</v>
      </c>
      <c r="K124" s="49">
        <f t="shared" si="37"/>
        <v>2785</v>
      </c>
      <c r="L124" s="49">
        <f t="shared" si="38"/>
        <v>2077.5100000000002</v>
      </c>
      <c r="M124" s="49">
        <f t="shared" si="39"/>
        <v>707.48999999999978</v>
      </c>
      <c r="N124" s="50">
        <f t="shared" si="40"/>
        <v>0.10879999999999999</v>
      </c>
      <c r="O124" s="49">
        <f t="shared" si="41"/>
        <v>76.974911999999975</v>
      </c>
      <c r="P124" s="49">
        <f t="shared" si="42"/>
        <v>121.95</v>
      </c>
      <c r="Q124" s="49">
        <f t="shared" si="43"/>
        <v>198.92491199999998</v>
      </c>
      <c r="R124" s="49">
        <f t="shared" si="44"/>
        <v>145.35</v>
      </c>
      <c r="S124" s="49">
        <f t="shared" si="45"/>
        <v>53.574911999999983</v>
      </c>
      <c r="T124" s="51"/>
      <c r="U124" s="47">
        <f>-IF(S124&gt;0,0,S124)</f>
        <v>0</v>
      </c>
      <c r="V124" s="52">
        <f>IF(S124&lt;0,0,S124)</f>
        <v>53.574911999999983</v>
      </c>
      <c r="W124" s="53">
        <v>0</v>
      </c>
      <c r="X124" s="47">
        <f t="shared" si="46"/>
        <v>53.574911999999983</v>
      </c>
      <c r="Y124" s="94">
        <f>H124+U124-X124</f>
        <v>2731.425088</v>
      </c>
    </row>
    <row r="125" spans="1:25" s="19" customFormat="1" ht="29.25" x14ac:dyDescent="0.25">
      <c r="A125" s="101">
        <v>80</v>
      </c>
      <c r="B125" s="44" t="s">
        <v>86</v>
      </c>
      <c r="C125" s="26" t="s">
        <v>72</v>
      </c>
      <c r="D125" s="25">
        <v>15</v>
      </c>
      <c r="E125" s="27">
        <f t="shared" si="35"/>
        <v>121.8</v>
      </c>
      <c r="F125" s="28">
        <v>1827</v>
      </c>
      <c r="G125" s="42">
        <v>0</v>
      </c>
      <c r="H125" s="47">
        <f t="shared" si="36"/>
        <v>1827</v>
      </c>
      <c r="I125" s="48"/>
      <c r="J125" s="49">
        <v>0</v>
      </c>
      <c r="K125" s="49">
        <f t="shared" si="37"/>
        <v>1827</v>
      </c>
      <c r="L125" s="49">
        <f t="shared" si="38"/>
        <v>244.81</v>
      </c>
      <c r="M125" s="49">
        <f t="shared" si="39"/>
        <v>1582.19</v>
      </c>
      <c r="N125" s="50">
        <f t="shared" si="40"/>
        <v>6.4000000000000001E-2</v>
      </c>
      <c r="O125" s="49">
        <f t="shared" si="41"/>
        <v>101.26016</v>
      </c>
      <c r="P125" s="49">
        <f t="shared" si="42"/>
        <v>4.6500000000000004</v>
      </c>
      <c r="Q125" s="49">
        <f t="shared" si="43"/>
        <v>105.91016</v>
      </c>
      <c r="R125" s="49">
        <f t="shared" si="44"/>
        <v>188.7</v>
      </c>
      <c r="S125" s="49">
        <f t="shared" si="45"/>
        <v>-82.789839999999984</v>
      </c>
      <c r="T125" s="51"/>
      <c r="U125" s="47">
        <f>-IF(S125&gt;0,0,S125)</f>
        <v>82.789839999999984</v>
      </c>
      <c r="V125" s="52">
        <f>IF(S125&lt;0,0,S125)</f>
        <v>0</v>
      </c>
      <c r="W125" s="53">
        <v>0</v>
      </c>
      <c r="X125" s="47">
        <f t="shared" si="46"/>
        <v>0</v>
      </c>
      <c r="Y125" s="94">
        <f>H125+U125-X125</f>
        <v>1909.7898399999999</v>
      </c>
    </row>
    <row r="126" spans="1:25" s="19" customFormat="1" ht="29.25" x14ac:dyDescent="0.25">
      <c r="A126" s="101">
        <v>81</v>
      </c>
      <c r="B126" s="44" t="s">
        <v>87</v>
      </c>
      <c r="C126" s="26" t="s">
        <v>72</v>
      </c>
      <c r="D126" s="25">
        <v>15</v>
      </c>
      <c r="E126" s="27">
        <f t="shared" si="35"/>
        <v>139.19999999999999</v>
      </c>
      <c r="F126" s="28">
        <v>2088</v>
      </c>
      <c r="G126" s="42">
        <v>0</v>
      </c>
      <c r="H126" s="47">
        <f t="shared" si="36"/>
        <v>2088</v>
      </c>
      <c r="I126" s="48"/>
      <c r="J126" s="49">
        <v>0</v>
      </c>
      <c r="K126" s="49">
        <f t="shared" si="37"/>
        <v>2088</v>
      </c>
      <c r="L126" s="49">
        <f t="shared" si="38"/>
        <v>2077.5100000000002</v>
      </c>
      <c r="M126" s="49">
        <f t="shared" si="39"/>
        <v>10.489999999999782</v>
      </c>
      <c r="N126" s="50">
        <f t="shared" si="40"/>
        <v>0.10879999999999999</v>
      </c>
      <c r="O126" s="49">
        <f t="shared" si="41"/>
        <v>1.1413119999999761</v>
      </c>
      <c r="P126" s="49">
        <f t="shared" si="42"/>
        <v>121.95</v>
      </c>
      <c r="Q126" s="49">
        <f t="shared" si="43"/>
        <v>123.09131199999997</v>
      </c>
      <c r="R126" s="49">
        <f t="shared" si="44"/>
        <v>188.7</v>
      </c>
      <c r="S126" s="49">
        <f t="shared" si="45"/>
        <v>-65.608688000000015</v>
      </c>
      <c r="T126" s="51"/>
      <c r="U126" s="47">
        <f>-IF(S126&gt;0,0,S126)</f>
        <v>65.608688000000015</v>
      </c>
      <c r="V126" s="52">
        <f>IF(S126&lt;0,0,S126)</f>
        <v>0</v>
      </c>
      <c r="W126" s="63">
        <v>0</v>
      </c>
      <c r="X126" s="47">
        <f t="shared" si="46"/>
        <v>0</v>
      </c>
      <c r="Y126" s="94">
        <f>H126+U126-X126</f>
        <v>2153.6086879999998</v>
      </c>
    </row>
    <row r="127" spans="1:25" s="19" customFormat="1" x14ac:dyDescent="0.25">
      <c r="A127" s="101">
        <v>82</v>
      </c>
      <c r="B127" s="62" t="s">
        <v>88</v>
      </c>
      <c r="C127" s="26" t="s">
        <v>72</v>
      </c>
      <c r="D127" s="25">
        <v>15</v>
      </c>
      <c r="E127" s="27">
        <f t="shared" si="35"/>
        <v>125.86666666666666</v>
      </c>
      <c r="F127" s="28">
        <v>1888</v>
      </c>
      <c r="G127" s="42">
        <v>0</v>
      </c>
      <c r="H127" s="47">
        <f t="shared" si="36"/>
        <v>1888</v>
      </c>
      <c r="I127" s="48"/>
      <c r="J127" s="49"/>
      <c r="K127" s="49"/>
      <c r="L127" s="49"/>
      <c r="M127" s="49"/>
      <c r="N127" s="50"/>
      <c r="O127" s="49"/>
      <c r="P127" s="49"/>
      <c r="Q127" s="49"/>
      <c r="R127" s="49"/>
      <c r="S127" s="49"/>
      <c r="T127" s="51"/>
      <c r="U127" s="47">
        <v>82.39</v>
      </c>
      <c r="V127" s="52">
        <f>IF(S127&lt;0,0,S127)</f>
        <v>0</v>
      </c>
      <c r="W127" s="63">
        <v>0</v>
      </c>
      <c r="X127" s="47">
        <f t="shared" si="46"/>
        <v>0</v>
      </c>
      <c r="Y127" s="94">
        <f>H127+U127-X127</f>
        <v>1970.39</v>
      </c>
    </row>
    <row r="128" spans="1:25" s="19" customFormat="1" x14ac:dyDescent="0.25">
      <c r="A128" s="101">
        <v>83</v>
      </c>
      <c r="B128" s="44" t="s">
        <v>89</v>
      </c>
      <c r="C128" s="26" t="s">
        <v>72</v>
      </c>
      <c r="D128" s="25">
        <v>15</v>
      </c>
      <c r="E128" s="27">
        <f t="shared" si="35"/>
        <v>125.86666666666666</v>
      </c>
      <c r="F128" s="28">
        <v>1888</v>
      </c>
      <c r="G128" s="42">
        <v>0</v>
      </c>
      <c r="H128" s="47">
        <f t="shared" si="36"/>
        <v>1888</v>
      </c>
      <c r="I128" s="48"/>
      <c r="J128" s="49">
        <v>0</v>
      </c>
      <c r="K128" s="49">
        <f t="shared" si="37"/>
        <v>1888</v>
      </c>
      <c r="L128" s="49">
        <f>VLOOKUP(K128,Tarifa1,1)</f>
        <v>244.81</v>
      </c>
      <c r="M128" s="49">
        <f t="shared" ref="M128:M134" si="47">K128-L128</f>
        <v>1643.19</v>
      </c>
      <c r="N128" s="50">
        <f>VLOOKUP(K128,Tarifa1,3)</f>
        <v>6.4000000000000001E-2</v>
      </c>
      <c r="O128" s="49">
        <f t="shared" ref="O128:O134" si="48">M128*N128</f>
        <v>105.16416000000001</v>
      </c>
      <c r="P128" s="49">
        <f>VLOOKUP(K128,Tarifa1,2)</f>
        <v>4.6500000000000004</v>
      </c>
      <c r="Q128" s="49">
        <f t="shared" ref="Q128:Q134" si="49">O128+P128</f>
        <v>109.81416000000002</v>
      </c>
      <c r="R128" s="49">
        <f>VLOOKUP(K128,Credito1,2)</f>
        <v>188.7</v>
      </c>
      <c r="S128" s="49">
        <f t="shared" ref="S128:S134" si="50">Q128-R128</f>
        <v>-78.885839999999973</v>
      </c>
      <c r="T128" s="51"/>
      <c r="U128" s="47">
        <f>-IF(S128&gt;0,0,S128)</f>
        <v>78.885839999999973</v>
      </c>
      <c r="V128" s="52">
        <f>IF(S128&lt;0,0,S128)</f>
        <v>0</v>
      </c>
      <c r="W128" s="53">
        <v>0</v>
      </c>
      <c r="X128" s="47">
        <f t="shared" si="46"/>
        <v>0</v>
      </c>
      <c r="Y128" s="94">
        <f>H128+U128-X128</f>
        <v>1966.8858399999999</v>
      </c>
    </row>
    <row r="129" spans="1:25" s="19" customFormat="1" x14ac:dyDescent="0.25">
      <c r="A129" s="101">
        <v>84</v>
      </c>
      <c r="B129" s="64" t="s">
        <v>90</v>
      </c>
      <c r="C129" s="26" t="s">
        <v>91</v>
      </c>
      <c r="D129" s="25">
        <v>15</v>
      </c>
      <c r="E129" s="27">
        <f t="shared" si="35"/>
        <v>174.26666666666668</v>
      </c>
      <c r="F129" s="28">
        <v>2614</v>
      </c>
      <c r="G129" s="42">
        <v>0</v>
      </c>
      <c r="H129" s="47">
        <f t="shared" si="36"/>
        <v>2614</v>
      </c>
      <c r="I129" s="48"/>
      <c r="J129" s="49">
        <v>0</v>
      </c>
      <c r="K129" s="49">
        <f t="shared" si="37"/>
        <v>2614</v>
      </c>
      <c r="L129" s="49">
        <f>VLOOKUP(K129,Tarifa1,1)</f>
        <v>2077.5100000000002</v>
      </c>
      <c r="M129" s="49">
        <f t="shared" si="47"/>
        <v>536.48999999999978</v>
      </c>
      <c r="N129" s="50">
        <f>VLOOKUP(K129,Tarifa1,3)</f>
        <v>0.10879999999999999</v>
      </c>
      <c r="O129" s="49">
        <f t="shared" si="48"/>
        <v>58.37011199999997</v>
      </c>
      <c r="P129" s="49">
        <f>VLOOKUP(K129,Tarifa1,2)</f>
        <v>121.95</v>
      </c>
      <c r="Q129" s="49">
        <f t="shared" si="49"/>
        <v>180.32011199999997</v>
      </c>
      <c r="R129" s="49">
        <f>VLOOKUP(K129,Credito1,2)</f>
        <v>160.35</v>
      </c>
      <c r="S129" s="49">
        <f t="shared" si="50"/>
        <v>19.970111999999972</v>
      </c>
      <c r="T129" s="51"/>
      <c r="U129" s="47">
        <f>-IF(S129&gt;0,0,S129)</f>
        <v>0</v>
      </c>
      <c r="V129" s="52">
        <f>IF(S129&lt;0,0,S129)</f>
        <v>19.970111999999972</v>
      </c>
      <c r="W129" s="53">
        <v>0</v>
      </c>
      <c r="X129" s="47">
        <f t="shared" si="46"/>
        <v>19.970111999999972</v>
      </c>
      <c r="Y129" s="94">
        <f>H129+U129-X129</f>
        <v>2594.029888</v>
      </c>
    </row>
    <row r="130" spans="1:25" s="19" customFormat="1" x14ac:dyDescent="0.25">
      <c r="A130" s="101">
        <v>85</v>
      </c>
      <c r="B130" s="44" t="s">
        <v>92</v>
      </c>
      <c r="C130" s="26" t="s">
        <v>93</v>
      </c>
      <c r="D130" s="25">
        <v>15</v>
      </c>
      <c r="E130" s="27">
        <f t="shared" si="35"/>
        <v>90.2</v>
      </c>
      <c r="F130" s="28">
        <v>1353</v>
      </c>
      <c r="G130" s="42">
        <v>0</v>
      </c>
      <c r="H130" s="47">
        <f>TRUNC(SUM(D130*E130)+G130,2)</f>
        <v>1353</v>
      </c>
      <c r="I130" s="48"/>
      <c r="J130" s="49">
        <v>0</v>
      </c>
      <c r="K130" s="49">
        <f t="shared" si="37"/>
        <v>1353</v>
      </c>
      <c r="L130" s="49">
        <f>VLOOKUP(K130,Tarifa1,1)</f>
        <v>244.81</v>
      </c>
      <c r="M130" s="49">
        <f t="shared" si="47"/>
        <v>1108.19</v>
      </c>
      <c r="N130" s="50">
        <f>VLOOKUP(K130,Tarifa1,3)</f>
        <v>6.4000000000000001E-2</v>
      </c>
      <c r="O130" s="49">
        <f t="shared" si="48"/>
        <v>70.924160000000001</v>
      </c>
      <c r="P130" s="49">
        <f>VLOOKUP(K130,Tarifa1,2)</f>
        <v>4.6500000000000004</v>
      </c>
      <c r="Q130" s="49">
        <f t="shared" si="49"/>
        <v>75.574160000000006</v>
      </c>
      <c r="R130" s="49">
        <f>VLOOKUP(K130,Credito1,2)</f>
        <v>200.7</v>
      </c>
      <c r="S130" s="49">
        <f t="shared" si="50"/>
        <v>-125.12583999999998</v>
      </c>
      <c r="T130" s="51"/>
      <c r="U130" s="47">
        <f>-IF(S130&gt;0,0,S130)</f>
        <v>125.12583999999998</v>
      </c>
      <c r="V130" s="52">
        <f>IF(S130&lt;0,0,S130)</f>
        <v>0</v>
      </c>
      <c r="W130" s="53">
        <v>0</v>
      </c>
      <c r="X130" s="47">
        <f t="shared" si="46"/>
        <v>0</v>
      </c>
      <c r="Y130" s="94">
        <f>H130+U130-X130</f>
        <v>1478.1258399999999</v>
      </c>
    </row>
    <row r="131" spans="1:25" s="19" customFormat="1" x14ac:dyDescent="0.25">
      <c r="A131" s="101">
        <v>86</v>
      </c>
      <c r="B131" s="44" t="s">
        <v>94</v>
      </c>
      <c r="C131" s="26" t="s">
        <v>93</v>
      </c>
      <c r="D131" s="25">
        <v>15</v>
      </c>
      <c r="E131" s="27">
        <f t="shared" si="35"/>
        <v>90.2</v>
      </c>
      <c r="F131" s="28">
        <v>1353</v>
      </c>
      <c r="G131" s="42">
        <v>0</v>
      </c>
      <c r="H131" s="47">
        <f>TRUNC(SUM(D131*E131)+G131,2)</f>
        <v>1353</v>
      </c>
      <c r="I131" s="48"/>
      <c r="J131" s="49">
        <v>0</v>
      </c>
      <c r="K131" s="49">
        <f t="shared" si="37"/>
        <v>1353</v>
      </c>
      <c r="L131" s="49">
        <f>VLOOKUP(K131,Tarifa1,1)</f>
        <v>244.81</v>
      </c>
      <c r="M131" s="49">
        <f t="shared" si="47"/>
        <v>1108.19</v>
      </c>
      <c r="N131" s="50">
        <f>VLOOKUP(K131,Tarifa1,3)</f>
        <v>6.4000000000000001E-2</v>
      </c>
      <c r="O131" s="49">
        <f t="shared" si="48"/>
        <v>70.924160000000001</v>
      </c>
      <c r="P131" s="49">
        <f>VLOOKUP(K131,Tarifa1,2)</f>
        <v>4.6500000000000004</v>
      </c>
      <c r="Q131" s="49">
        <f t="shared" si="49"/>
        <v>75.574160000000006</v>
      </c>
      <c r="R131" s="49">
        <f>VLOOKUP(K131,Credito1,2)</f>
        <v>200.7</v>
      </c>
      <c r="S131" s="49">
        <f t="shared" si="50"/>
        <v>-125.12583999999998</v>
      </c>
      <c r="T131" s="51"/>
      <c r="U131" s="47">
        <f>-IF(S131&gt;0,0,S131)</f>
        <v>125.12583999999998</v>
      </c>
      <c r="V131" s="52">
        <f>IF(S131&lt;0,0,S131)</f>
        <v>0</v>
      </c>
      <c r="W131" s="53">
        <v>0</v>
      </c>
      <c r="X131" s="47">
        <f t="shared" si="46"/>
        <v>0</v>
      </c>
      <c r="Y131" s="94">
        <f>H131+U131-X131</f>
        <v>1478.1258399999999</v>
      </c>
    </row>
    <row r="132" spans="1:25" s="19" customFormat="1" x14ac:dyDescent="0.25">
      <c r="A132" s="101">
        <v>87</v>
      </c>
      <c r="B132" s="44" t="s">
        <v>95</v>
      </c>
      <c r="C132" s="26" t="s">
        <v>96</v>
      </c>
      <c r="D132" s="25">
        <v>15</v>
      </c>
      <c r="E132" s="27">
        <f t="shared" si="35"/>
        <v>106.93333333333334</v>
      </c>
      <c r="F132" s="28">
        <v>1604</v>
      </c>
      <c r="G132" s="42">
        <v>0</v>
      </c>
      <c r="H132" s="47">
        <f>TRUNC(SUM(D132*E132)+G132,2)</f>
        <v>1604</v>
      </c>
      <c r="I132" s="48"/>
      <c r="J132" s="49">
        <v>0</v>
      </c>
      <c r="K132" s="49">
        <f t="shared" si="37"/>
        <v>1604</v>
      </c>
      <c r="L132" s="49">
        <f>VLOOKUP(K132,Tarifa1,1)</f>
        <v>244.81</v>
      </c>
      <c r="M132" s="49">
        <f t="shared" si="47"/>
        <v>1359.19</v>
      </c>
      <c r="N132" s="50">
        <f>VLOOKUP(K132,Tarifa1,3)</f>
        <v>6.4000000000000001E-2</v>
      </c>
      <c r="O132" s="49">
        <f t="shared" si="48"/>
        <v>86.988160000000008</v>
      </c>
      <c r="P132" s="49">
        <f>VLOOKUP(K132,Tarifa1,2)</f>
        <v>4.6500000000000004</v>
      </c>
      <c r="Q132" s="49">
        <f t="shared" si="49"/>
        <v>91.638160000000013</v>
      </c>
      <c r="R132" s="49">
        <f>VLOOKUP(K132,Credito1,2)</f>
        <v>200.7</v>
      </c>
      <c r="S132" s="49">
        <f t="shared" si="50"/>
        <v>-109.06183999999998</v>
      </c>
      <c r="T132" s="51"/>
      <c r="U132" s="47">
        <f>-IF(S132&gt;0,0,S132)</f>
        <v>109.06183999999998</v>
      </c>
      <c r="V132" s="52">
        <f>IF(S132&lt;0,0,S132)</f>
        <v>0</v>
      </c>
      <c r="W132" s="53">
        <v>0</v>
      </c>
      <c r="X132" s="47">
        <f t="shared" si="46"/>
        <v>0</v>
      </c>
      <c r="Y132" s="94">
        <f>H132+U132-X132</f>
        <v>1713.0618400000001</v>
      </c>
    </row>
    <row r="133" spans="1:25" s="19" customFormat="1" x14ac:dyDescent="0.25">
      <c r="A133" s="101">
        <v>88</v>
      </c>
      <c r="B133" s="44" t="s">
        <v>97</v>
      </c>
      <c r="C133" s="26" t="s">
        <v>98</v>
      </c>
      <c r="D133" s="25">
        <v>15</v>
      </c>
      <c r="E133" s="27">
        <f t="shared" si="35"/>
        <v>133.66666666666666</v>
      </c>
      <c r="F133" s="39">
        <v>2005</v>
      </c>
      <c r="G133" s="42">
        <v>0</v>
      </c>
      <c r="H133" s="47">
        <f>TRUNC(SUM(D133*E133)+G133,2)</f>
        <v>2005</v>
      </c>
      <c r="I133" s="48"/>
      <c r="J133" s="49">
        <v>0</v>
      </c>
      <c r="K133" s="49">
        <f t="shared" si="37"/>
        <v>2005</v>
      </c>
      <c r="L133" s="49">
        <f>IF(H133=0,0,VLOOKUP(K133,Tarifa1,1))</f>
        <v>244.81</v>
      </c>
      <c r="M133" s="49">
        <f t="shared" si="47"/>
        <v>1760.19</v>
      </c>
      <c r="N133" s="50">
        <f>IF(H133=0,0,VLOOKUP(K133,Tarifa1,3))</f>
        <v>6.4000000000000001E-2</v>
      </c>
      <c r="O133" s="49">
        <f t="shared" si="48"/>
        <v>112.65216000000001</v>
      </c>
      <c r="P133" s="49">
        <f>IF(H133=0,0,VLOOKUP(K133,Tarifa1,2))</f>
        <v>4.6500000000000004</v>
      </c>
      <c r="Q133" s="49">
        <f t="shared" si="49"/>
        <v>117.30216000000001</v>
      </c>
      <c r="R133" s="49">
        <f>IF(H133=0,0,VLOOKUP(K133,Credito1,2))</f>
        <v>188.7</v>
      </c>
      <c r="S133" s="49">
        <f t="shared" si="50"/>
        <v>-71.397839999999974</v>
      </c>
      <c r="T133" s="51"/>
      <c r="U133" s="47">
        <f>-IF(S133&gt;0,0,S133)</f>
        <v>71.397839999999974</v>
      </c>
      <c r="V133" s="52">
        <f>IF(S133&lt;0,0,S133)</f>
        <v>0</v>
      </c>
      <c r="W133" s="53">
        <v>0</v>
      </c>
      <c r="X133" s="47">
        <f t="shared" si="46"/>
        <v>0</v>
      </c>
      <c r="Y133" s="94">
        <f>H133+U133-X133</f>
        <v>2076.3978400000001</v>
      </c>
    </row>
    <row r="134" spans="1:25" s="19" customFormat="1" ht="29.25" x14ac:dyDescent="0.25">
      <c r="A134" s="101">
        <v>89</v>
      </c>
      <c r="B134" s="44" t="s">
        <v>99</v>
      </c>
      <c r="C134" s="26" t="s">
        <v>100</v>
      </c>
      <c r="D134" s="25"/>
      <c r="E134" s="27"/>
      <c r="F134" s="28">
        <v>1840</v>
      </c>
      <c r="G134" s="65">
        <v>0</v>
      </c>
      <c r="H134" s="47">
        <v>1840</v>
      </c>
      <c r="I134" s="66"/>
      <c r="J134" s="67">
        <v>0</v>
      </c>
      <c r="K134" s="67">
        <f>H134+J134</f>
        <v>1840</v>
      </c>
      <c r="L134" s="67">
        <f>VLOOKUP(K134,Tarifa1,1)</f>
        <v>244.81</v>
      </c>
      <c r="M134" s="67">
        <f t="shared" si="47"/>
        <v>1595.19</v>
      </c>
      <c r="N134" s="68">
        <f>VLOOKUP(K134,Tarifa1,3)</f>
        <v>6.4000000000000001E-2</v>
      </c>
      <c r="O134" s="67">
        <f t="shared" si="48"/>
        <v>102.09216000000001</v>
      </c>
      <c r="P134" s="67">
        <f>VLOOKUP(K134,Tarifa1,2)</f>
        <v>4.6500000000000004</v>
      </c>
      <c r="Q134" s="67">
        <f t="shared" si="49"/>
        <v>106.74216000000001</v>
      </c>
      <c r="R134" s="67">
        <f>VLOOKUP(K134,Credito1,2)</f>
        <v>188.7</v>
      </c>
      <c r="S134" s="67">
        <f t="shared" si="50"/>
        <v>-81.957839999999976</v>
      </c>
      <c r="T134" s="69"/>
      <c r="U134" s="70">
        <v>78.569999999999993</v>
      </c>
      <c r="V134" s="71">
        <v>0</v>
      </c>
      <c r="W134" s="72">
        <v>0</v>
      </c>
      <c r="X134" s="47">
        <f>SUM(V134:W134)</f>
        <v>0</v>
      </c>
      <c r="Y134" s="94">
        <f>H134+U134-X134</f>
        <v>1918.57</v>
      </c>
    </row>
    <row r="135" spans="1:25" s="19" customFormat="1" x14ac:dyDescent="0.25">
      <c r="A135" s="101"/>
      <c r="B135" s="60" t="s">
        <v>101</v>
      </c>
      <c r="C135" s="26"/>
      <c r="D135" s="25"/>
      <c r="E135" s="61"/>
      <c r="F135" s="28"/>
      <c r="G135" s="42"/>
      <c r="H135" s="47"/>
      <c r="I135" s="48"/>
      <c r="J135" s="49"/>
      <c r="K135" s="49"/>
      <c r="L135" s="49"/>
      <c r="M135" s="49"/>
      <c r="N135" s="50"/>
      <c r="O135" s="49"/>
      <c r="P135" s="49"/>
      <c r="Q135" s="49"/>
      <c r="R135" s="49"/>
      <c r="S135" s="49"/>
      <c r="T135" s="51"/>
      <c r="U135" s="47"/>
      <c r="V135" s="52"/>
      <c r="W135" s="53"/>
      <c r="X135" s="47"/>
      <c r="Y135" s="94"/>
    </row>
    <row r="136" spans="1:25" s="19" customFormat="1" x14ac:dyDescent="0.25">
      <c r="A136" s="101">
        <v>90</v>
      </c>
      <c r="B136" s="44" t="s">
        <v>102</v>
      </c>
      <c r="C136" s="26" t="s">
        <v>103</v>
      </c>
      <c r="D136" s="25">
        <v>15</v>
      </c>
      <c r="E136" s="27">
        <f t="shared" si="35"/>
        <v>126.2</v>
      </c>
      <c r="F136" s="28">
        <v>1893</v>
      </c>
      <c r="G136" s="65">
        <v>0</v>
      </c>
      <c r="H136" s="47">
        <v>1893</v>
      </c>
      <c r="I136" s="66"/>
      <c r="J136" s="67">
        <v>0</v>
      </c>
      <c r="K136" s="67">
        <f>H136+J136</f>
        <v>1893</v>
      </c>
      <c r="L136" s="67">
        <f>VLOOKUP(K136,Tarifa1,1)</f>
        <v>244.81</v>
      </c>
      <c r="M136" s="67">
        <f>K136-L136</f>
        <v>1648.19</v>
      </c>
      <c r="N136" s="68">
        <f>VLOOKUP(K136,Tarifa1,3)</f>
        <v>6.4000000000000001E-2</v>
      </c>
      <c r="O136" s="67">
        <f>M136*N136</f>
        <v>105.48416</v>
      </c>
      <c r="P136" s="67">
        <f>VLOOKUP(K136,Tarifa1,2)</f>
        <v>4.6500000000000004</v>
      </c>
      <c r="Q136" s="67">
        <f>O136+P136</f>
        <v>110.13416000000001</v>
      </c>
      <c r="R136" s="67">
        <f>VLOOKUP(K136,Credito1,2)</f>
        <v>188.7</v>
      </c>
      <c r="S136" s="67">
        <f>Q136-R136</f>
        <v>-78.56583999999998</v>
      </c>
      <c r="T136" s="69"/>
      <c r="U136" s="70">
        <v>78.569999999999993</v>
      </c>
      <c r="V136" s="71">
        <v>0</v>
      </c>
      <c r="W136" s="72">
        <v>0</v>
      </c>
      <c r="X136" s="47">
        <f>SUM(V136:W136)</f>
        <v>0</v>
      </c>
      <c r="Y136" s="94">
        <f>H136+U136-X136</f>
        <v>1971.57</v>
      </c>
    </row>
    <row r="137" spans="1:25" s="19" customFormat="1" x14ac:dyDescent="0.25">
      <c r="A137" s="101"/>
      <c r="B137" s="60" t="s">
        <v>206</v>
      </c>
      <c r="C137" s="26"/>
      <c r="D137" s="25"/>
      <c r="E137" s="61"/>
      <c r="F137" s="28"/>
      <c r="G137" s="42"/>
      <c r="H137" s="47"/>
      <c r="I137" s="48"/>
      <c r="J137" s="49"/>
      <c r="K137" s="49"/>
      <c r="L137" s="49"/>
      <c r="M137" s="49"/>
      <c r="N137" s="50"/>
      <c r="O137" s="49"/>
      <c r="P137" s="49"/>
      <c r="Q137" s="49"/>
      <c r="R137" s="49"/>
      <c r="S137" s="49"/>
      <c r="T137" s="51"/>
      <c r="U137" s="47"/>
      <c r="V137" s="52"/>
      <c r="W137" s="53"/>
      <c r="X137" s="47"/>
      <c r="Y137" s="94"/>
    </row>
    <row r="138" spans="1:25" s="19" customFormat="1" x14ac:dyDescent="0.25">
      <c r="A138" s="101">
        <v>91</v>
      </c>
      <c r="B138" s="44" t="s">
        <v>233</v>
      </c>
      <c r="C138" s="26" t="s">
        <v>93</v>
      </c>
      <c r="D138" s="25">
        <v>15</v>
      </c>
      <c r="E138" s="27">
        <f t="shared" si="35"/>
        <v>42.466666666666669</v>
      </c>
      <c r="F138" s="28">
        <v>637</v>
      </c>
      <c r="G138" s="42">
        <v>0</v>
      </c>
      <c r="H138" s="47">
        <f t="shared" ref="H138:H145" si="51">TRUNC(SUM(D138*E138)+G138,2)</f>
        <v>637</v>
      </c>
      <c r="I138" s="48"/>
      <c r="J138" s="49">
        <v>0</v>
      </c>
      <c r="K138" s="49">
        <f t="shared" ref="K138:K145" si="52">H138+J138</f>
        <v>637</v>
      </c>
      <c r="L138" s="49">
        <f>VLOOKUP(K138,Tarifa1,1)</f>
        <v>244.81</v>
      </c>
      <c r="M138" s="49">
        <f>K138-L138</f>
        <v>392.19</v>
      </c>
      <c r="N138" s="50">
        <f>VLOOKUP(K138,Tarifa1,3)</f>
        <v>6.4000000000000001E-2</v>
      </c>
      <c r="O138" s="49">
        <f>M138*N138</f>
        <v>25.100159999999999</v>
      </c>
      <c r="P138" s="49">
        <f>VLOOKUP(K138,Tarifa1,2)</f>
        <v>4.6500000000000004</v>
      </c>
      <c r="Q138" s="49">
        <f>O138+P138</f>
        <v>29.750160000000001</v>
      </c>
      <c r="R138" s="49">
        <f>VLOOKUP(K138,Credito1,2)</f>
        <v>200.85</v>
      </c>
      <c r="S138" s="49">
        <f>Q138-R138</f>
        <v>-171.09984</v>
      </c>
      <c r="T138" s="51"/>
      <c r="U138" s="70">
        <f>-IF(S138&gt;0,0,S138)</f>
        <v>171.09984</v>
      </c>
      <c r="V138" s="71">
        <f>IF(S138&lt;0,0,S138)</f>
        <v>0</v>
      </c>
      <c r="W138" s="53">
        <v>0</v>
      </c>
      <c r="X138" s="47">
        <f t="shared" ref="X138:X144" si="53">SUM(V138:W138)</f>
        <v>0</v>
      </c>
      <c r="Y138" s="94">
        <f>H138+U138-X138</f>
        <v>808.09983999999997</v>
      </c>
    </row>
    <row r="139" spans="1:25" s="19" customFormat="1" x14ac:dyDescent="0.25">
      <c r="A139" s="101">
        <v>92</v>
      </c>
      <c r="B139" s="44" t="s">
        <v>234</v>
      </c>
      <c r="C139" s="26" t="s">
        <v>93</v>
      </c>
      <c r="D139" s="25">
        <v>15</v>
      </c>
      <c r="E139" s="27">
        <f t="shared" si="35"/>
        <v>42.466666666666669</v>
      </c>
      <c r="F139" s="28">
        <v>637</v>
      </c>
      <c r="G139" s="42">
        <v>0</v>
      </c>
      <c r="H139" s="47">
        <f t="shared" si="51"/>
        <v>637</v>
      </c>
      <c r="I139" s="48"/>
      <c r="J139" s="49">
        <v>0</v>
      </c>
      <c r="K139" s="49">
        <f t="shared" si="52"/>
        <v>637</v>
      </c>
      <c r="L139" s="49">
        <f t="shared" ref="L139:L154" si="54">VLOOKUP(K139,Tarifa1,1)</f>
        <v>244.81</v>
      </c>
      <c r="M139" s="49">
        <f t="shared" ref="M139:M154" si="55">K139-L139</f>
        <v>392.19</v>
      </c>
      <c r="N139" s="50">
        <f t="shared" ref="N139:N154" si="56">VLOOKUP(K139,Tarifa1,3)</f>
        <v>6.4000000000000001E-2</v>
      </c>
      <c r="O139" s="49">
        <f t="shared" ref="O139:O154" si="57">M139*N139</f>
        <v>25.100159999999999</v>
      </c>
      <c r="P139" s="49">
        <f t="shared" ref="P139:P154" si="58">VLOOKUP(K139,Tarifa1,2)</f>
        <v>4.6500000000000004</v>
      </c>
      <c r="Q139" s="49">
        <f t="shared" ref="Q139:Q154" si="59">O139+P139</f>
        <v>29.750160000000001</v>
      </c>
      <c r="R139" s="49">
        <f t="shared" ref="R139:R154" si="60">VLOOKUP(K139,Credito1,2)</f>
        <v>200.85</v>
      </c>
      <c r="S139" s="49">
        <f t="shared" ref="S139:S154" si="61">Q139-R139</f>
        <v>-171.09984</v>
      </c>
      <c r="T139" s="51"/>
      <c r="U139" s="70">
        <f>-IF(S139&gt;0,0,S139)</f>
        <v>171.09984</v>
      </c>
      <c r="V139" s="71">
        <f>IF(S139&lt;0,0,S139)</f>
        <v>0</v>
      </c>
      <c r="W139" s="53">
        <v>0</v>
      </c>
      <c r="X139" s="47">
        <f t="shared" si="53"/>
        <v>0</v>
      </c>
      <c r="Y139" s="94">
        <f>H139+U139-X139</f>
        <v>808.09983999999997</v>
      </c>
    </row>
    <row r="140" spans="1:25" s="19" customFormat="1" x14ac:dyDescent="0.25">
      <c r="A140" s="101">
        <v>93</v>
      </c>
      <c r="B140" s="44" t="s">
        <v>235</v>
      </c>
      <c r="C140" s="26" t="s">
        <v>93</v>
      </c>
      <c r="D140" s="25">
        <v>15</v>
      </c>
      <c r="E140" s="27">
        <f t="shared" si="35"/>
        <v>42.466666666666669</v>
      </c>
      <c r="F140" s="28">
        <v>637</v>
      </c>
      <c r="G140" s="42">
        <v>0</v>
      </c>
      <c r="H140" s="47">
        <f t="shared" si="51"/>
        <v>637</v>
      </c>
      <c r="I140" s="48"/>
      <c r="J140" s="49">
        <v>0</v>
      </c>
      <c r="K140" s="49">
        <f t="shared" si="52"/>
        <v>637</v>
      </c>
      <c r="L140" s="49">
        <f t="shared" si="54"/>
        <v>244.81</v>
      </c>
      <c r="M140" s="49">
        <f t="shared" si="55"/>
        <v>392.19</v>
      </c>
      <c r="N140" s="50">
        <f t="shared" si="56"/>
        <v>6.4000000000000001E-2</v>
      </c>
      <c r="O140" s="49">
        <f t="shared" si="57"/>
        <v>25.100159999999999</v>
      </c>
      <c r="P140" s="49">
        <f t="shared" si="58"/>
        <v>4.6500000000000004</v>
      </c>
      <c r="Q140" s="49">
        <f t="shared" si="59"/>
        <v>29.750160000000001</v>
      </c>
      <c r="R140" s="49">
        <f t="shared" si="60"/>
        <v>200.85</v>
      </c>
      <c r="S140" s="49">
        <f t="shared" si="61"/>
        <v>-171.09984</v>
      </c>
      <c r="T140" s="51"/>
      <c r="U140" s="70">
        <f>-IF(S140&gt;0,0,S140)</f>
        <v>171.09984</v>
      </c>
      <c r="V140" s="71">
        <f>IF(S140&lt;0,0,S140)</f>
        <v>0</v>
      </c>
      <c r="W140" s="53">
        <v>0</v>
      </c>
      <c r="X140" s="47">
        <f t="shared" si="53"/>
        <v>0</v>
      </c>
      <c r="Y140" s="94">
        <f>H140+U140-X140</f>
        <v>808.09983999999997</v>
      </c>
    </row>
    <row r="141" spans="1:25" s="19" customFormat="1" x14ac:dyDescent="0.25">
      <c r="A141" s="101">
        <v>94</v>
      </c>
      <c r="B141" s="44" t="s">
        <v>236</v>
      </c>
      <c r="C141" s="26" t="s">
        <v>93</v>
      </c>
      <c r="D141" s="25">
        <v>15</v>
      </c>
      <c r="E141" s="27">
        <f t="shared" si="35"/>
        <v>42.466666666666669</v>
      </c>
      <c r="F141" s="28">
        <v>637</v>
      </c>
      <c r="G141" s="42">
        <v>0</v>
      </c>
      <c r="H141" s="47">
        <f t="shared" si="51"/>
        <v>637</v>
      </c>
      <c r="I141" s="48"/>
      <c r="J141" s="49">
        <v>0</v>
      </c>
      <c r="K141" s="49">
        <f t="shared" si="52"/>
        <v>637</v>
      </c>
      <c r="L141" s="49">
        <f t="shared" si="54"/>
        <v>244.81</v>
      </c>
      <c r="M141" s="49">
        <f t="shared" si="55"/>
        <v>392.19</v>
      </c>
      <c r="N141" s="50">
        <f t="shared" si="56"/>
        <v>6.4000000000000001E-2</v>
      </c>
      <c r="O141" s="49">
        <f t="shared" si="57"/>
        <v>25.100159999999999</v>
      </c>
      <c r="P141" s="49">
        <f t="shared" si="58"/>
        <v>4.6500000000000004</v>
      </c>
      <c r="Q141" s="49">
        <f t="shared" si="59"/>
        <v>29.750160000000001</v>
      </c>
      <c r="R141" s="49">
        <f t="shared" si="60"/>
        <v>200.85</v>
      </c>
      <c r="S141" s="49">
        <f t="shared" si="61"/>
        <v>-171.09984</v>
      </c>
      <c r="T141" s="51"/>
      <c r="U141" s="70">
        <f>-IF(S141&gt;0,0,S141)</f>
        <v>171.09984</v>
      </c>
      <c r="V141" s="71">
        <f>IF(S141&lt;0,0,S141)</f>
        <v>0</v>
      </c>
      <c r="W141" s="53">
        <v>0</v>
      </c>
      <c r="X141" s="47">
        <f t="shared" si="53"/>
        <v>0</v>
      </c>
      <c r="Y141" s="94">
        <f>H141+U141-X141</f>
        <v>808.09983999999997</v>
      </c>
    </row>
    <row r="142" spans="1:25" s="19" customFormat="1" x14ac:dyDescent="0.25">
      <c r="A142" s="101">
        <v>95</v>
      </c>
      <c r="B142" s="44" t="s">
        <v>237</v>
      </c>
      <c r="C142" s="26" t="s">
        <v>188</v>
      </c>
      <c r="D142" s="25">
        <v>15</v>
      </c>
      <c r="E142" s="27">
        <f t="shared" si="35"/>
        <v>42.466666666666669</v>
      </c>
      <c r="F142" s="28">
        <v>637</v>
      </c>
      <c r="G142" s="42">
        <v>0</v>
      </c>
      <c r="H142" s="47">
        <f t="shared" si="51"/>
        <v>637</v>
      </c>
      <c r="I142" s="48"/>
      <c r="J142" s="49">
        <v>0</v>
      </c>
      <c r="K142" s="49">
        <f t="shared" si="52"/>
        <v>637</v>
      </c>
      <c r="L142" s="49">
        <f t="shared" si="54"/>
        <v>244.81</v>
      </c>
      <c r="M142" s="49">
        <f t="shared" si="55"/>
        <v>392.19</v>
      </c>
      <c r="N142" s="50">
        <f t="shared" si="56"/>
        <v>6.4000000000000001E-2</v>
      </c>
      <c r="O142" s="49">
        <f t="shared" si="57"/>
        <v>25.100159999999999</v>
      </c>
      <c r="P142" s="49">
        <f t="shared" si="58"/>
        <v>4.6500000000000004</v>
      </c>
      <c r="Q142" s="49">
        <f t="shared" si="59"/>
        <v>29.750160000000001</v>
      </c>
      <c r="R142" s="49">
        <f t="shared" si="60"/>
        <v>200.85</v>
      </c>
      <c r="S142" s="49">
        <f t="shared" si="61"/>
        <v>-171.09984</v>
      </c>
      <c r="T142" s="51"/>
      <c r="U142" s="70">
        <f>-IF(S142&gt;0,0,S142)</f>
        <v>171.09984</v>
      </c>
      <c r="V142" s="71">
        <f>IF(S142&lt;0,0,S142)</f>
        <v>0</v>
      </c>
      <c r="W142" s="53">
        <v>0</v>
      </c>
      <c r="X142" s="47">
        <f t="shared" si="53"/>
        <v>0</v>
      </c>
      <c r="Y142" s="94">
        <f>H142+U142-X142</f>
        <v>808.09983999999997</v>
      </c>
    </row>
    <row r="143" spans="1:25" s="19" customFormat="1" x14ac:dyDescent="0.25">
      <c r="A143" s="101">
        <v>96</v>
      </c>
      <c r="B143" s="44" t="s">
        <v>238</v>
      </c>
      <c r="C143" s="26" t="s">
        <v>93</v>
      </c>
      <c r="D143" s="25">
        <v>15</v>
      </c>
      <c r="E143" s="27">
        <f t="shared" si="35"/>
        <v>42.466666666666669</v>
      </c>
      <c r="F143" s="28">
        <v>637</v>
      </c>
      <c r="G143" s="42">
        <v>0</v>
      </c>
      <c r="H143" s="47">
        <f t="shared" si="51"/>
        <v>637</v>
      </c>
      <c r="I143" s="48"/>
      <c r="J143" s="49">
        <v>0</v>
      </c>
      <c r="K143" s="49">
        <f t="shared" si="52"/>
        <v>637</v>
      </c>
      <c r="L143" s="49">
        <f t="shared" si="54"/>
        <v>244.81</v>
      </c>
      <c r="M143" s="49">
        <f t="shared" si="55"/>
        <v>392.19</v>
      </c>
      <c r="N143" s="50">
        <f t="shared" si="56"/>
        <v>6.4000000000000001E-2</v>
      </c>
      <c r="O143" s="49">
        <f t="shared" si="57"/>
        <v>25.100159999999999</v>
      </c>
      <c r="P143" s="49">
        <f t="shared" si="58"/>
        <v>4.6500000000000004</v>
      </c>
      <c r="Q143" s="49">
        <f t="shared" si="59"/>
        <v>29.750160000000001</v>
      </c>
      <c r="R143" s="49">
        <f t="shared" si="60"/>
        <v>200.85</v>
      </c>
      <c r="S143" s="49">
        <f t="shared" si="61"/>
        <v>-171.09984</v>
      </c>
      <c r="T143" s="51"/>
      <c r="U143" s="70">
        <f>-IF(S143&gt;0,0,S143)</f>
        <v>171.09984</v>
      </c>
      <c r="V143" s="71">
        <f>IF(S143&lt;0,0,S143)</f>
        <v>0</v>
      </c>
      <c r="W143" s="53">
        <v>0</v>
      </c>
      <c r="X143" s="47">
        <f t="shared" si="53"/>
        <v>0</v>
      </c>
      <c r="Y143" s="94">
        <f>H143+U143-X143</f>
        <v>808.09983999999997</v>
      </c>
    </row>
    <row r="144" spans="1:25" s="19" customFormat="1" x14ac:dyDescent="0.25">
      <c r="A144" s="101">
        <v>97</v>
      </c>
      <c r="B144" s="44" t="s">
        <v>239</v>
      </c>
      <c r="C144" s="26" t="s">
        <v>240</v>
      </c>
      <c r="D144" s="25">
        <v>15</v>
      </c>
      <c r="E144" s="27">
        <f t="shared" si="35"/>
        <v>42.466666666666669</v>
      </c>
      <c r="F144" s="28">
        <v>637</v>
      </c>
      <c r="G144" s="42">
        <v>0</v>
      </c>
      <c r="H144" s="47">
        <f t="shared" si="51"/>
        <v>637</v>
      </c>
      <c r="I144" s="48"/>
      <c r="J144" s="49">
        <v>0</v>
      </c>
      <c r="K144" s="49">
        <f t="shared" si="52"/>
        <v>637</v>
      </c>
      <c r="L144" s="49">
        <f t="shared" si="54"/>
        <v>244.81</v>
      </c>
      <c r="M144" s="49">
        <f t="shared" si="55"/>
        <v>392.19</v>
      </c>
      <c r="N144" s="50">
        <f t="shared" si="56"/>
        <v>6.4000000000000001E-2</v>
      </c>
      <c r="O144" s="49">
        <f t="shared" si="57"/>
        <v>25.100159999999999</v>
      </c>
      <c r="P144" s="49">
        <f t="shared" si="58"/>
        <v>4.6500000000000004</v>
      </c>
      <c r="Q144" s="49">
        <f t="shared" si="59"/>
        <v>29.750160000000001</v>
      </c>
      <c r="R144" s="49">
        <f t="shared" si="60"/>
        <v>200.85</v>
      </c>
      <c r="S144" s="49">
        <f t="shared" si="61"/>
        <v>-171.09984</v>
      </c>
      <c r="T144" s="51"/>
      <c r="U144" s="70">
        <f>-IF(S144&gt;0,0,S144)</f>
        <v>171.09984</v>
      </c>
      <c r="V144" s="71">
        <f>IF(S144&lt;0,0,S144)</f>
        <v>0</v>
      </c>
      <c r="W144" s="53">
        <v>0</v>
      </c>
      <c r="X144" s="47">
        <f t="shared" si="53"/>
        <v>0</v>
      </c>
      <c r="Y144" s="94">
        <f>H144+U144-X144</f>
        <v>808.09983999999997</v>
      </c>
    </row>
    <row r="145" spans="1:25" s="19" customFormat="1" x14ac:dyDescent="0.25">
      <c r="A145" s="101">
        <v>98</v>
      </c>
      <c r="B145" s="44" t="s">
        <v>241</v>
      </c>
      <c r="C145" s="26" t="s">
        <v>242</v>
      </c>
      <c r="D145" s="25">
        <v>15</v>
      </c>
      <c r="E145" s="27">
        <f t="shared" si="35"/>
        <v>45.333333333333336</v>
      </c>
      <c r="F145" s="28">
        <v>680</v>
      </c>
      <c r="G145" s="42">
        <v>0</v>
      </c>
      <c r="H145" s="47">
        <f t="shared" si="51"/>
        <v>680</v>
      </c>
      <c r="I145" s="48"/>
      <c r="J145" s="49">
        <v>0</v>
      </c>
      <c r="K145" s="49">
        <f t="shared" si="52"/>
        <v>680</v>
      </c>
      <c r="L145" s="49">
        <f t="shared" si="54"/>
        <v>244.81</v>
      </c>
      <c r="M145" s="49">
        <f t="shared" si="55"/>
        <v>435.19</v>
      </c>
      <c r="N145" s="50">
        <f t="shared" si="56"/>
        <v>6.4000000000000001E-2</v>
      </c>
      <c r="O145" s="49">
        <f t="shared" si="57"/>
        <v>27.852160000000001</v>
      </c>
      <c r="P145" s="49">
        <f t="shared" si="58"/>
        <v>4.6500000000000004</v>
      </c>
      <c r="Q145" s="49">
        <f t="shared" si="59"/>
        <v>32.502160000000003</v>
      </c>
      <c r="R145" s="49">
        <f t="shared" si="60"/>
        <v>200.85</v>
      </c>
      <c r="S145" s="49">
        <f t="shared" si="61"/>
        <v>-168.34783999999999</v>
      </c>
      <c r="T145" s="51"/>
      <c r="U145" s="70">
        <f>-IF(S145&gt;0,0,S145)</f>
        <v>168.34783999999999</v>
      </c>
      <c r="V145" s="71">
        <f>IF(S145&lt;0,0,S145)</f>
        <v>0</v>
      </c>
      <c r="W145" s="53">
        <v>0</v>
      </c>
      <c r="X145" s="47">
        <f>SUM(V145:W145)</f>
        <v>0</v>
      </c>
      <c r="Y145" s="94">
        <f>H145+U145-X145</f>
        <v>848.34784000000002</v>
      </c>
    </row>
    <row r="146" spans="1:25" s="19" customFormat="1" x14ac:dyDescent="0.25">
      <c r="A146" s="101">
        <v>99</v>
      </c>
      <c r="B146" s="44" t="s">
        <v>243</v>
      </c>
      <c r="C146" s="26" t="s">
        <v>244</v>
      </c>
      <c r="D146" s="25"/>
      <c r="E146" s="27"/>
      <c r="F146" s="28">
        <v>649</v>
      </c>
      <c r="G146" s="42">
        <v>0</v>
      </c>
      <c r="H146" s="47">
        <v>649</v>
      </c>
      <c r="I146" s="48"/>
      <c r="J146" s="49">
        <v>1</v>
      </c>
      <c r="K146" s="49">
        <f>H146+J146</f>
        <v>650</v>
      </c>
      <c r="L146" s="49">
        <f>VLOOKUP(K146,Tarifa1,1)</f>
        <v>244.81</v>
      </c>
      <c r="M146" s="49">
        <f>K146-L146</f>
        <v>405.19</v>
      </c>
      <c r="N146" s="50">
        <f>VLOOKUP(K146,Tarifa1,3)</f>
        <v>6.4000000000000001E-2</v>
      </c>
      <c r="O146" s="49">
        <f>M146*N146</f>
        <v>25.93216</v>
      </c>
      <c r="P146" s="49">
        <f>VLOOKUP(K146,Tarifa1,2)</f>
        <v>4.6500000000000004</v>
      </c>
      <c r="Q146" s="49">
        <f>O146+P146</f>
        <v>30.582160000000002</v>
      </c>
      <c r="R146" s="49">
        <f>VLOOKUP(K146,Credito1,2)</f>
        <v>200.85</v>
      </c>
      <c r="S146" s="49">
        <f>Q146-R146</f>
        <v>-170.26783999999998</v>
      </c>
      <c r="T146" s="51"/>
      <c r="U146" s="70">
        <f>-IF(S146&gt;0,0,S146)</f>
        <v>170.26783999999998</v>
      </c>
      <c r="V146" s="71">
        <f>IF(S146&lt;0,0,S146)</f>
        <v>0</v>
      </c>
      <c r="W146" s="53">
        <v>0</v>
      </c>
      <c r="X146" s="47">
        <v>0</v>
      </c>
      <c r="Y146" s="94">
        <f>H146+U146-X146</f>
        <v>819.26783999999998</v>
      </c>
    </row>
    <row r="147" spans="1:25" s="19" customFormat="1" ht="30" x14ac:dyDescent="0.25">
      <c r="A147" s="101"/>
      <c r="B147" s="60" t="s">
        <v>245</v>
      </c>
      <c r="C147" s="26"/>
      <c r="D147" s="25"/>
      <c r="E147" s="61"/>
      <c r="F147" s="28"/>
      <c r="G147" s="42"/>
      <c r="H147" s="47"/>
      <c r="I147" s="48"/>
      <c r="J147" s="49"/>
      <c r="K147" s="49"/>
      <c r="L147" s="49"/>
      <c r="M147" s="49"/>
      <c r="N147" s="50"/>
      <c r="O147" s="49"/>
      <c r="P147" s="49"/>
      <c r="Q147" s="49"/>
      <c r="R147" s="49"/>
      <c r="S147" s="49"/>
      <c r="T147" s="51"/>
      <c r="U147" s="47"/>
      <c r="V147" s="52"/>
      <c r="W147" s="53"/>
      <c r="X147" s="47"/>
      <c r="Y147" s="94"/>
    </row>
    <row r="148" spans="1:25" s="19" customFormat="1" x14ac:dyDescent="0.25">
      <c r="A148" s="101">
        <v>100</v>
      </c>
      <c r="B148" s="44" t="s">
        <v>246</v>
      </c>
      <c r="C148" s="26" t="s">
        <v>247</v>
      </c>
      <c r="D148" s="25">
        <v>15</v>
      </c>
      <c r="E148" s="27">
        <f t="shared" si="35"/>
        <v>44.93333333333333</v>
      </c>
      <c r="F148" s="28">
        <v>674</v>
      </c>
      <c r="G148" s="42">
        <v>0</v>
      </c>
      <c r="H148" s="47">
        <f>TRUNC(SUM(D148*E148)+G148,2)</f>
        <v>674</v>
      </c>
      <c r="I148" s="48"/>
      <c r="J148" s="49">
        <v>0</v>
      </c>
      <c r="K148" s="49">
        <f>H148+J148</f>
        <v>674</v>
      </c>
      <c r="L148" s="49">
        <f t="shared" si="54"/>
        <v>244.81</v>
      </c>
      <c r="M148" s="49">
        <f t="shared" si="55"/>
        <v>429.19</v>
      </c>
      <c r="N148" s="50">
        <f t="shared" si="56"/>
        <v>6.4000000000000001E-2</v>
      </c>
      <c r="O148" s="49">
        <f t="shared" si="57"/>
        <v>27.468160000000001</v>
      </c>
      <c r="P148" s="49">
        <f t="shared" si="58"/>
        <v>4.6500000000000004</v>
      </c>
      <c r="Q148" s="49">
        <f t="shared" si="59"/>
        <v>32.118160000000003</v>
      </c>
      <c r="R148" s="49">
        <f t="shared" si="60"/>
        <v>200.85</v>
      </c>
      <c r="S148" s="49">
        <f t="shared" si="61"/>
        <v>-168.73183999999998</v>
      </c>
      <c r="T148" s="51"/>
      <c r="U148" s="47">
        <f>-IF(S148&gt;0,0,S148)</f>
        <v>168.73183999999998</v>
      </c>
      <c r="V148" s="52">
        <f>IF(S148&lt;0,0,S148)</f>
        <v>0</v>
      </c>
      <c r="W148" s="53">
        <v>0</v>
      </c>
      <c r="X148" s="47">
        <f>SUM(V148:W148)</f>
        <v>0</v>
      </c>
      <c r="Y148" s="94">
        <f>H148+U148-X148</f>
        <v>842.73183999999992</v>
      </c>
    </row>
    <row r="149" spans="1:25" s="19" customFormat="1" x14ac:dyDescent="0.25">
      <c r="A149" s="101">
        <v>101</v>
      </c>
      <c r="B149" s="44" t="s">
        <v>248</v>
      </c>
      <c r="C149" s="26" t="s">
        <v>50</v>
      </c>
      <c r="D149" s="25">
        <v>15</v>
      </c>
      <c r="E149" s="27">
        <f t="shared" si="35"/>
        <v>117.93333333333334</v>
      </c>
      <c r="F149" s="28">
        <v>1769</v>
      </c>
      <c r="G149" s="42">
        <v>0</v>
      </c>
      <c r="H149" s="47">
        <f>TRUNC(SUM(D149*E149)+G149,2)</f>
        <v>1769</v>
      </c>
      <c r="I149" s="48"/>
      <c r="J149" s="49">
        <v>0</v>
      </c>
      <c r="K149" s="49">
        <f>H149+J149</f>
        <v>1769</v>
      </c>
      <c r="L149" s="49">
        <f t="shared" si="54"/>
        <v>244.81</v>
      </c>
      <c r="M149" s="49">
        <f t="shared" si="55"/>
        <v>1524.19</v>
      </c>
      <c r="N149" s="50">
        <f t="shared" si="56"/>
        <v>6.4000000000000001E-2</v>
      </c>
      <c r="O149" s="49">
        <f t="shared" si="57"/>
        <v>97.54816000000001</v>
      </c>
      <c r="P149" s="49">
        <f t="shared" si="58"/>
        <v>4.6500000000000004</v>
      </c>
      <c r="Q149" s="49">
        <f t="shared" si="59"/>
        <v>102.19816000000002</v>
      </c>
      <c r="R149" s="49">
        <f t="shared" si="60"/>
        <v>188.7</v>
      </c>
      <c r="S149" s="49">
        <f t="shared" si="61"/>
        <v>-86.501839999999973</v>
      </c>
      <c r="T149" s="51"/>
      <c r="U149" s="47">
        <f>-IF(S149&gt;0,0,S149)</f>
        <v>86.501839999999973</v>
      </c>
      <c r="V149" s="52">
        <f>IF(S149&lt;0,0,S149)</f>
        <v>0</v>
      </c>
      <c r="W149" s="53">
        <v>0</v>
      </c>
      <c r="X149" s="47">
        <f>SUM(V149:W149)</f>
        <v>0</v>
      </c>
      <c r="Y149" s="94">
        <f>H149+U149-X149</f>
        <v>1855.5018399999999</v>
      </c>
    </row>
    <row r="150" spans="1:25" s="19" customFormat="1" ht="29.25" x14ac:dyDescent="0.25">
      <c r="A150" s="101">
        <v>102</v>
      </c>
      <c r="B150" s="62" t="s">
        <v>249</v>
      </c>
      <c r="C150" s="26" t="s">
        <v>250</v>
      </c>
      <c r="D150" s="25"/>
      <c r="E150" s="27"/>
      <c r="F150" s="29">
        <v>2005</v>
      </c>
      <c r="G150" s="29">
        <v>0</v>
      </c>
      <c r="H150" s="29">
        <v>2005</v>
      </c>
      <c r="I150" s="30"/>
      <c r="J150" s="31">
        <v>0</v>
      </c>
      <c r="K150" s="31">
        <f>H150</f>
        <v>2005</v>
      </c>
      <c r="L150" s="31">
        <f>VLOOKUP(K150,Tarifa1,1)</f>
        <v>244.81</v>
      </c>
      <c r="M150" s="31">
        <f>K150-L150</f>
        <v>1760.19</v>
      </c>
      <c r="N150" s="32">
        <f>VLOOKUP(K150,Tarifa1,3)</f>
        <v>6.4000000000000001E-2</v>
      </c>
      <c r="O150" s="31">
        <f>M150*N150</f>
        <v>112.65216000000001</v>
      </c>
      <c r="P150" s="31">
        <f>VLOOKUP(K150,Tarifa1,2)</f>
        <v>4.6500000000000004</v>
      </c>
      <c r="Q150" s="31">
        <f>O150+P150</f>
        <v>117.30216000000001</v>
      </c>
      <c r="R150" s="31">
        <f>VLOOKUP(K150,Credito1,2)</f>
        <v>188.7</v>
      </c>
      <c r="S150" s="31">
        <f>Q150-R150</f>
        <v>-71.397839999999974</v>
      </c>
      <c r="T150" s="33"/>
      <c r="U150" s="29">
        <f>-IF(S150&gt;0,0,S150)</f>
        <v>71.397839999999974</v>
      </c>
      <c r="V150" s="34">
        <f>IF(S150&lt;0,0,S150)</f>
        <v>0</v>
      </c>
      <c r="W150" s="35">
        <v>0</v>
      </c>
      <c r="X150" s="29">
        <f>SUM(V150:W150)</f>
        <v>0</v>
      </c>
      <c r="Y150" s="89">
        <f>H150+U150-X150</f>
        <v>2076.3978400000001</v>
      </c>
    </row>
    <row r="151" spans="1:25" s="19" customFormat="1" ht="30" x14ac:dyDescent="0.25">
      <c r="A151" s="101"/>
      <c r="B151" s="60" t="s">
        <v>251</v>
      </c>
      <c r="C151" s="26"/>
      <c r="D151" s="25"/>
      <c r="E151" s="61"/>
      <c r="F151" s="28"/>
      <c r="G151" s="42"/>
      <c r="H151" s="47"/>
      <c r="I151" s="48"/>
      <c r="J151" s="49"/>
      <c r="K151" s="49"/>
      <c r="L151" s="49"/>
      <c r="M151" s="49"/>
      <c r="N151" s="50"/>
      <c r="O151" s="49"/>
      <c r="P151" s="49"/>
      <c r="Q151" s="49"/>
      <c r="R151" s="49"/>
      <c r="S151" s="49"/>
      <c r="T151" s="51"/>
      <c r="U151" s="47"/>
      <c r="V151" s="52"/>
      <c r="W151" s="53"/>
      <c r="X151" s="47"/>
      <c r="Y151" s="94"/>
    </row>
    <row r="152" spans="1:25" s="19" customFormat="1" x14ac:dyDescent="0.25">
      <c r="A152" s="101">
        <v>103</v>
      </c>
      <c r="B152" s="44" t="s">
        <v>252</v>
      </c>
      <c r="C152" s="26" t="s">
        <v>253</v>
      </c>
      <c r="D152" s="25">
        <v>15</v>
      </c>
      <c r="E152" s="27">
        <f t="shared" si="35"/>
        <v>123.53333333333333</v>
      </c>
      <c r="F152" s="28">
        <v>1853</v>
      </c>
      <c r="G152" s="42">
        <v>0</v>
      </c>
      <c r="H152" s="47">
        <f>TRUNC(SUM(D152*E152)+G152,2)</f>
        <v>1853</v>
      </c>
      <c r="I152" s="48"/>
      <c r="J152" s="49">
        <v>0</v>
      </c>
      <c r="K152" s="49">
        <f>H152+J152</f>
        <v>1853</v>
      </c>
      <c r="L152" s="49">
        <f t="shared" si="54"/>
        <v>244.81</v>
      </c>
      <c r="M152" s="49">
        <f t="shared" si="55"/>
        <v>1608.19</v>
      </c>
      <c r="N152" s="50">
        <f t="shared" si="56"/>
        <v>6.4000000000000001E-2</v>
      </c>
      <c r="O152" s="49">
        <f t="shared" si="57"/>
        <v>102.92416</v>
      </c>
      <c r="P152" s="49">
        <f t="shared" si="58"/>
        <v>4.6500000000000004</v>
      </c>
      <c r="Q152" s="49">
        <f t="shared" si="59"/>
        <v>107.57416000000001</v>
      </c>
      <c r="R152" s="49">
        <f t="shared" si="60"/>
        <v>188.7</v>
      </c>
      <c r="S152" s="49">
        <f t="shared" si="61"/>
        <v>-81.125839999999982</v>
      </c>
      <c r="T152" s="51"/>
      <c r="U152" s="47">
        <f>-IF(S152&gt;0,0,S152)</f>
        <v>81.125839999999982</v>
      </c>
      <c r="V152" s="52">
        <f>IF(S152&lt;0,0,S152)</f>
        <v>0</v>
      </c>
      <c r="W152" s="53">
        <v>0</v>
      </c>
      <c r="X152" s="47">
        <f>SUM(V152:W152)</f>
        <v>0</v>
      </c>
      <c r="Y152" s="94">
        <f>H152+U152-X152</f>
        <v>1934.1258399999999</v>
      </c>
    </row>
    <row r="153" spans="1:25" s="19" customFormat="1" ht="29.25" x14ac:dyDescent="0.25">
      <c r="A153" s="101">
        <v>104</v>
      </c>
      <c r="B153" s="44" t="s">
        <v>254</v>
      </c>
      <c r="C153" s="26" t="s">
        <v>128</v>
      </c>
      <c r="D153" s="25"/>
      <c r="E153" s="27"/>
      <c r="F153" s="28">
        <v>1644</v>
      </c>
      <c r="G153" s="42">
        <v>0</v>
      </c>
      <c r="H153" s="47">
        <v>1644</v>
      </c>
      <c r="I153" s="48"/>
      <c r="J153" s="49">
        <v>1</v>
      </c>
      <c r="K153" s="49">
        <f>H153+J153</f>
        <v>1645</v>
      </c>
      <c r="L153" s="49">
        <f>VLOOKUP(K153,Tarifa1,1)</f>
        <v>244.81</v>
      </c>
      <c r="M153" s="49">
        <f>K153-L153</f>
        <v>1400.19</v>
      </c>
      <c r="N153" s="50">
        <f>VLOOKUP(K153,Tarifa1,3)</f>
        <v>6.4000000000000001E-2</v>
      </c>
      <c r="O153" s="49">
        <f>M153*N153</f>
        <v>89.612160000000003</v>
      </c>
      <c r="P153" s="49">
        <f>VLOOKUP(K153,Tarifa1,2)</f>
        <v>4.6500000000000004</v>
      </c>
      <c r="Q153" s="49">
        <f>O153+P153</f>
        <v>94.262160000000009</v>
      </c>
      <c r="R153" s="49">
        <f>VLOOKUP(K153,Credito1,2)</f>
        <v>200.7</v>
      </c>
      <c r="S153" s="49">
        <f>Q153-R153</f>
        <v>-106.43783999999998</v>
      </c>
      <c r="T153" s="51"/>
      <c r="U153" s="47">
        <f>-IF(S153&gt;0,0,S153)</f>
        <v>106.43783999999998</v>
      </c>
      <c r="V153" s="52">
        <f>IF(S153&lt;0,0,S153)</f>
        <v>0</v>
      </c>
      <c r="W153" s="53">
        <v>0</v>
      </c>
      <c r="X153" s="47">
        <f>SUM(V153:W153)</f>
        <v>0</v>
      </c>
      <c r="Y153" s="94">
        <f>H153+U153-X153</f>
        <v>1750.4378400000001</v>
      </c>
    </row>
    <row r="154" spans="1:25" s="19" customFormat="1" x14ac:dyDescent="0.25">
      <c r="A154" s="101">
        <v>105</v>
      </c>
      <c r="B154" s="44" t="s">
        <v>255</v>
      </c>
      <c r="C154" s="26" t="s">
        <v>256</v>
      </c>
      <c r="D154" s="25">
        <v>15</v>
      </c>
      <c r="E154" s="27">
        <f t="shared" si="35"/>
        <v>139.19999999999999</v>
      </c>
      <c r="F154" s="28">
        <v>2088</v>
      </c>
      <c r="G154" s="42">
        <v>0</v>
      </c>
      <c r="H154" s="47">
        <f>TRUNC(SUM(D154*E154)+G154,2)</f>
        <v>2088</v>
      </c>
      <c r="I154" s="48"/>
      <c r="J154" s="49">
        <v>0</v>
      </c>
      <c r="K154" s="49">
        <f>H154+J154</f>
        <v>2088</v>
      </c>
      <c r="L154" s="49">
        <f t="shared" si="54"/>
        <v>2077.5100000000002</v>
      </c>
      <c r="M154" s="49">
        <f t="shared" si="55"/>
        <v>10.489999999999782</v>
      </c>
      <c r="N154" s="50">
        <f t="shared" si="56"/>
        <v>0.10879999999999999</v>
      </c>
      <c r="O154" s="49">
        <f t="shared" si="57"/>
        <v>1.1413119999999761</v>
      </c>
      <c r="P154" s="49">
        <f t="shared" si="58"/>
        <v>121.95</v>
      </c>
      <c r="Q154" s="49">
        <f t="shared" si="59"/>
        <v>123.09131199999997</v>
      </c>
      <c r="R154" s="49">
        <f t="shared" si="60"/>
        <v>188.7</v>
      </c>
      <c r="S154" s="49">
        <f t="shared" si="61"/>
        <v>-65.608688000000015</v>
      </c>
      <c r="T154" s="51"/>
      <c r="U154" s="47">
        <f>-IF(S154&gt;0,0,S154)</f>
        <v>65.608688000000015</v>
      </c>
      <c r="V154" s="52">
        <f>IF(S154&lt;0,0,S154)</f>
        <v>0</v>
      </c>
      <c r="W154" s="53">
        <v>0</v>
      </c>
      <c r="X154" s="47">
        <f>SUM(V154:W154)</f>
        <v>0</v>
      </c>
      <c r="Y154" s="94">
        <f>H154+U154-X154</f>
        <v>2153.6086879999998</v>
      </c>
    </row>
    <row r="155" spans="1:25" s="19" customFormat="1" x14ac:dyDescent="0.25">
      <c r="A155" s="102"/>
      <c r="B155" s="20" t="s">
        <v>257</v>
      </c>
      <c r="C155" s="20" t="s">
        <v>47</v>
      </c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91"/>
    </row>
    <row r="156" spans="1:25" s="19" customFormat="1" x14ac:dyDescent="0.25">
      <c r="A156" s="90"/>
      <c r="B156" s="38"/>
      <c r="C156" s="38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93"/>
    </row>
    <row r="157" spans="1:25" s="19" customFormat="1" x14ac:dyDescent="0.25">
      <c r="A157" s="88">
        <v>106</v>
      </c>
      <c r="B157" s="73" t="s">
        <v>274</v>
      </c>
      <c r="C157" s="73" t="s">
        <v>274</v>
      </c>
      <c r="D157" s="25">
        <v>15</v>
      </c>
      <c r="E157" s="27">
        <f>F157/15</f>
        <v>0</v>
      </c>
      <c r="F157" s="29"/>
      <c r="G157" s="29"/>
      <c r="H157" s="29"/>
      <c r="I157" s="30"/>
      <c r="J157" s="31"/>
      <c r="K157" s="31"/>
      <c r="L157" s="31"/>
      <c r="M157" s="31"/>
      <c r="N157" s="32"/>
      <c r="O157" s="31"/>
      <c r="P157" s="31"/>
      <c r="Q157" s="31"/>
      <c r="R157" s="31"/>
      <c r="S157" s="31"/>
      <c r="T157" s="33"/>
      <c r="U157" s="29"/>
      <c r="V157" s="34"/>
      <c r="W157" s="35"/>
      <c r="X157" s="29"/>
      <c r="Y157" s="89"/>
    </row>
    <row r="158" spans="1:25" s="19" customFormat="1" x14ac:dyDescent="0.25">
      <c r="A158" s="88">
        <v>107</v>
      </c>
      <c r="B158" s="73" t="s">
        <v>274</v>
      </c>
      <c r="C158" s="73" t="s">
        <v>274</v>
      </c>
      <c r="D158" s="25">
        <v>15</v>
      </c>
      <c r="E158" s="27">
        <f t="shared" ref="E158:E170" si="62">F158/15</f>
        <v>0</v>
      </c>
      <c r="F158" s="29"/>
      <c r="G158" s="29"/>
      <c r="H158" s="29"/>
      <c r="I158" s="30"/>
      <c r="J158" s="31"/>
      <c r="K158" s="31"/>
      <c r="L158" s="31"/>
      <c r="M158" s="31"/>
      <c r="N158" s="32"/>
      <c r="O158" s="31"/>
      <c r="P158" s="31"/>
      <c r="Q158" s="31"/>
      <c r="R158" s="31"/>
      <c r="S158" s="31"/>
      <c r="T158" s="33"/>
      <c r="U158" s="29"/>
      <c r="V158" s="34"/>
      <c r="W158" s="35"/>
      <c r="X158" s="29"/>
      <c r="Y158" s="89"/>
    </row>
    <row r="159" spans="1:25" s="19" customFormat="1" x14ac:dyDescent="0.25">
      <c r="A159" s="88">
        <v>108</v>
      </c>
      <c r="B159" s="73" t="s">
        <v>274</v>
      </c>
      <c r="C159" s="73" t="s">
        <v>274</v>
      </c>
      <c r="D159" s="25">
        <v>15</v>
      </c>
      <c r="E159" s="27">
        <f t="shared" si="62"/>
        <v>0</v>
      </c>
      <c r="F159" s="29"/>
      <c r="G159" s="29"/>
      <c r="H159" s="29"/>
      <c r="I159" s="30"/>
      <c r="J159" s="31"/>
      <c r="K159" s="31"/>
      <c r="L159" s="31"/>
      <c r="M159" s="31"/>
      <c r="N159" s="32"/>
      <c r="O159" s="31"/>
      <c r="P159" s="31"/>
      <c r="Q159" s="31"/>
      <c r="R159" s="31"/>
      <c r="S159" s="31"/>
      <c r="T159" s="33"/>
      <c r="U159" s="29"/>
      <c r="V159" s="34"/>
      <c r="W159" s="35"/>
      <c r="X159" s="29"/>
      <c r="Y159" s="89"/>
    </row>
    <row r="160" spans="1:25" s="19" customFormat="1" x14ac:dyDescent="0.25">
      <c r="A160" s="88">
        <v>109</v>
      </c>
      <c r="B160" s="73" t="s">
        <v>274</v>
      </c>
      <c r="C160" s="73" t="s">
        <v>274</v>
      </c>
      <c r="D160" s="25">
        <v>15</v>
      </c>
      <c r="E160" s="27">
        <f t="shared" si="62"/>
        <v>0</v>
      </c>
      <c r="F160" s="29"/>
      <c r="G160" s="29"/>
      <c r="H160" s="29"/>
      <c r="I160" s="30"/>
      <c r="J160" s="31"/>
      <c r="K160" s="31"/>
      <c r="L160" s="31"/>
      <c r="M160" s="31"/>
      <c r="N160" s="32"/>
      <c r="O160" s="31"/>
      <c r="P160" s="31"/>
      <c r="Q160" s="31"/>
      <c r="R160" s="31"/>
      <c r="S160" s="31"/>
      <c r="T160" s="33"/>
      <c r="U160" s="29"/>
      <c r="V160" s="34"/>
      <c r="W160" s="35"/>
      <c r="X160" s="29"/>
      <c r="Y160" s="89"/>
    </row>
    <row r="161" spans="1:25" s="19" customFormat="1" x14ac:dyDescent="0.25">
      <c r="A161" s="88">
        <v>110</v>
      </c>
      <c r="B161" s="73" t="s">
        <v>274</v>
      </c>
      <c r="C161" s="73" t="s">
        <v>274</v>
      </c>
      <c r="D161" s="25">
        <v>15</v>
      </c>
      <c r="E161" s="27">
        <f t="shared" si="62"/>
        <v>0</v>
      </c>
      <c r="F161" s="29"/>
      <c r="G161" s="29"/>
      <c r="H161" s="29"/>
      <c r="I161" s="30"/>
      <c r="J161" s="31"/>
      <c r="K161" s="31"/>
      <c r="L161" s="31"/>
      <c r="M161" s="31"/>
      <c r="N161" s="32"/>
      <c r="O161" s="31"/>
      <c r="P161" s="31"/>
      <c r="Q161" s="31"/>
      <c r="R161" s="31"/>
      <c r="S161" s="31"/>
      <c r="T161" s="33"/>
      <c r="U161" s="29"/>
      <c r="V161" s="34"/>
      <c r="W161" s="35"/>
      <c r="X161" s="29"/>
      <c r="Y161" s="89"/>
    </row>
    <row r="162" spans="1:25" s="19" customFormat="1" x14ac:dyDescent="0.25">
      <c r="A162" s="88">
        <v>111</v>
      </c>
      <c r="B162" s="73" t="s">
        <v>274</v>
      </c>
      <c r="C162" s="73" t="s">
        <v>274</v>
      </c>
      <c r="D162" s="25">
        <v>15</v>
      </c>
      <c r="E162" s="27">
        <f t="shared" si="62"/>
        <v>0</v>
      </c>
      <c r="F162" s="29"/>
      <c r="G162" s="29"/>
      <c r="H162" s="29"/>
      <c r="I162" s="30"/>
      <c r="J162" s="31"/>
      <c r="K162" s="31"/>
      <c r="L162" s="31"/>
      <c r="M162" s="31"/>
      <c r="N162" s="32"/>
      <c r="O162" s="31"/>
      <c r="P162" s="31"/>
      <c r="Q162" s="31"/>
      <c r="R162" s="31"/>
      <c r="S162" s="31"/>
      <c r="T162" s="33"/>
      <c r="U162" s="29"/>
      <c r="V162" s="34"/>
      <c r="W162" s="35"/>
      <c r="X162" s="29"/>
      <c r="Y162" s="89"/>
    </row>
    <row r="163" spans="1:25" s="19" customFormat="1" x14ac:dyDescent="0.25">
      <c r="A163" s="88">
        <v>112</v>
      </c>
      <c r="B163" s="73" t="s">
        <v>274</v>
      </c>
      <c r="C163" s="73" t="s">
        <v>274</v>
      </c>
      <c r="D163" s="25">
        <v>15</v>
      </c>
      <c r="E163" s="27">
        <f t="shared" si="62"/>
        <v>0</v>
      </c>
      <c r="F163" s="29"/>
      <c r="G163" s="29"/>
      <c r="H163" s="29"/>
      <c r="I163" s="30"/>
      <c r="J163" s="31"/>
      <c r="K163" s="31"/>
      <c r="L163" s="31"/>
      <c r="M163" s="31"/>
      <c r="N163" s="32"/>
      <c r="O163" s="31"/>
      <c r="P163" s="31"/>
      <c r="Q163" s="31"/>
      <c r="R163" s="31"/>
      <c r="S163" s="31"/>
      <c r="T163" s="33"/>
      <c r="U163" s="29"/>
      <c r="V163" s="34"/>
      <c r="W163" s="35"/>
      <c r="X163" s="29"/>
      <c r="Y163" s="89"/>
    </row>
    <row r="164" spans="1:25" s="19" customFormat="1" x14ac:dyDescent="0.25">
      <c r="A164" s="88">
        <v>113</v>
      </c>
      <c r="B164" s="73" t="s">
        <v>274</v>
      </c>
      <c r="C164" s="73" t="s">
        <v>274</v>
      </c>
      <c r="D164" s="25">
        <v>15</v>
      </c>
      <c r="E164" s="27">
        <f t="shared" si="62"/>
        <v>0</v>
      </c>
      <c r="F164" s="29"/>
      <c r="G164" s="29"/>
      <c r="H164" s="29"/>
      <c r="I164" s="30"/>
      <c r="J164" s="31"/>
      <c r="K164" s="31"/>
      <c r="L164" s="31"/>
      <c r="M164" s="31"/>
      <c r="N164" s="32"/>
      <c r="O164" s="31"/>
      <c r="P164" s="31"/>
      <c r="Q164" s="31"/>
      <c r="R164" s="31"/>
      <c r="S164" s="31"/>
      <c r="T164" s="33"/>
      <c r="U164" s="29"/>
      <c r="V164" s="34"/>
      <c r="W164" s="35"/>
      <c r="X164" s="29"/>
      <c r="Y164" s="89"/>
    </row>
    <row r="165" spans="1:25" s="19" customFormat="1" x14ac:dyDescent="0.25">
      <c r="A165" s="88">
        <v>114</v>
      </c>
      <c r="B165" s="73" t="s">
        <v>274</v>
      </c>
      <c r="C165" s="73" t="s">
        <v>274</v>
      </c>
      <c r="D165" s="25">
        <v>15</v>
      </c>
      <c r="E165" s="27">
        <f t="shared" si="62"/>
        <v>0</v>
      </c>
      <c r="F165" s="29"/>
      <c r="G165" s="29"/>
      <c r="H165" s="29"/>
      <c r="I165" s="30"/>
      <c r="J165" s="31"/>
      <c r="K165" s="31"/>
      <c r="L165" s="31"/>
      <c r="M165" s="31"/>
      <c r="N165" s="32"/>
      <c r="O165" s="31"/>
      <c r="P165" s="31"/>
      <c r="Q165" s="31"/>
      <c r="R165" s="31"/>
      <c r="S165" s="31"/>
      <c r="T165" s="33"/>
      <c r="U165" s="29"/>
      <c r="V165" s="34"/>
      <c r="W165" s="35"/>
      <c r="X165" s="29"/>
      <c r="Y165" s="89"/>
    </row>
    <row r="166" spans="1:25" s="19" customFormat="1" x14ac:dyDescent="0.25">
      <c r="A166" s="88">
        <v>115</v>
      </c>
      <c r="B166" s="73" t="s">
        <v>274</v>
      </c>
      <c r="C166" s="73" t="s">
        <v>274</v>
      </c>
      <c r="D166" s="25">
        <v>15</v>
      </c>
      <c r="E166" s="27">
        <f t="shared" si="62"/>
        <v>0</v>
      </c>
      <c r="F166" s="29"/>
      <c r="G166" s="29"/>
      <c r="H166" s="29"/>
      <c r="I166" s="30"/>
      <c r="J166" s="31"/>
      <c r="K166" s="31"/>
      <c r="L166" s="31"/>
      <c r="M166" s="31"/>
      <c r="N166" s="32"/>
      <c r="O166" s="31"/>
      <c r="P166" s="31"/>
      <c r="Q166" s="31"/>
      <c r="R166" s="31"/>
      <c r="S166" s="31"/>
      <c r="T166" s="33"/>
      <c r="U166" s="29"/>
      <c r="V166" s="34"/>
      <c r="W166" s="35"/>
      <c r="X166" s="29"/>
      <c r="Y166" s="89"/>
    </row>
    <row r="167" spans="1:25" s="19" customFormat="1" x14ac:dyDescent="0.25">
      <c r="A167" s="88">
        <v>116</v>
      </c>
      <c r="B167" s="73" t="s">
        <v>274</v>
      </c>
      <c r="C167" s="73" t="s">
        <v>274</v>
      </c>
      <c r="D167" s="25">
        <v>15</v>
      </c>
      <c r="E167" s="27">
        <f t="shared" si="62"/>
        <v>0</v>
      </c>
      <c r="F167" s="29"/>
      <c r="G167" s="29"/>
      <c r="H167" s="29"/>
      <c r="I167" s="30"/>
      <c r="J167" s="31"/>
      <c r="K167" s="31"/>
      <c r="L167" s="31"/>
      <c r="M167" s="31"/>
      <c r="N167" s="32"/>
      <c r="O167" s="31"/>
      <c r="P167" s="31"/>
      <c r="Q167" s="31"/>
      <c r="R167" s="31"/>
      <c r="S167" s="31"/>
      <c r="T167" s="33"/>
      <c r="U167" s="29"/>
      <c r="V167" s="34"/>
      <c r="W167" s="35"/>
      <c r="X167" s="29"/>
      <c r="Y167" s="89"/>
    </row>
    <row r="168" spans="1:25" s="19" customFormat="1" x14ac:dyDescent="0.25">
      <c r="A168" s="88">
        <v>117</v>
      </c>
      <c r="B168" s="73" t="s">
        <v>274</v>
      </c>
      <c r="C168" s="73" t="s">
        <v>274</v>
      </c>
      <c r="D168" s="25">
        <v>15</v>
      </c>
      <c r="E168" s="27">
        <f t="shared" si="62"/>
        <v>0</v>
      </c>
      <c r="F168" s="29"/>
      <c r="G168" s="29"/>
      <c r="H168" s="29"/>
      <c r="I168" s="30"/>
      <c r="J168" s="31"/>
      <c r="K168" s="31"/>
      <c r="L168" s="31"/>
      <c r="M168" s="31"/>
      <c r="N168" s="32"/>
      <c r="O168" s="31"/>
      <c r="P168" s="31"/>
      <c r="Q168" s="31"/>
      <c r="R168" s="31"/>
      <c r="S168" s="31"/>
      <c r="T168" s="33"/>
      <c r="U168" s="29"/>
      <c r="V168" s="34"/>
      <c r="W168" s="35"/>
      <c r="X168" s="29"/>
      <c r="Y168" s="89"/>
    </row>
    <row r="169" spans="1:25" s="19" customFormat="1" x14ac:dyDescent="0.25">
      <c r="A169" s="88">
        <v>118</v>
      </c>
      <c r="B169" s="73" t="s">
        <v>274</v>
      </c>
      <c r="C169" s="73" t="s">
        <v>274</v>
      </c>
      <c r="D169" s="25">
        <v>15</v>
      </c>
      <c r="E169" s="27">
        <f t="shared" si="62"/>
        <v>0</v>
      </c>
      <c r="F169" s="29"/>
      <c r="G169" s="29"/>
      <c r="H169" s="29"/>
      <c r="I169" s="30"/>
      <c r="J169" s="31"/>
      <c r="K169" s="31"/>
      <c r="L169" s="31"/>
      <c r="M169" s="31"/>
      <c r="N169" s="32"/>
      <c r="O169" s="31"/>
      <c r="P169" s="31"/>
      <c r="Q169" s="31"/>
      <c r="R169" s="31"/>
      <c r="S169" s="31"/>
      <c r="T169" s="33"/>
      <c r="U169" s="29"/>
      <c r="V169" s="34"/>
      <c r="W169" s="35"/>
      <c r="X169" s="29"/>
      <c r="Y169" s="89"/>
    </row>
    <row r="170" spans="1:25" s="19" customFormat="1" x14ac:dyDescent="0.25">
      <c r="A170" s="88">
        <v>119</v>
      </c>
      <c r="B170" s="73" t="s">
        <v>274</v>
      </c>
      <c r="C170" s="73" t="s">
        <v>274</v>
      </c>
      <c r="D170" s="25">
        <v>15</v>
      </c>
      <c r="E170" s="27">
        <f t="shared" si="62"/>
        <v>0</v>
      </c>
      <c r="F170" s="29"/>
      <c r="G170" s="29"/>
      <c r="H170" s="29"/>
      <c r="I170" s="30"/>
      <c r="J170" s="31"/>
      <c r="K170" s="31"/>
      <c r="L170" s="31"/>
      <c r="M170" s="31"/>
      <c r="N170" s="32"/>
      <c r="O170" s="31"/>
      <c r="P170" s="31"/>
      <c r="Q170" s="31"/>
      <c r="R170" s="31"/>
      <c r="S170" s="31"/>
      <c r="T170" s="33"/>
      <c r="U170" s="29"/>
      <c r="V170" s="34"/>
      <c r="W170" s="35"/>
      <c r="X170" s="29"/>
      <c r="Y170" s="89"/>
    </row>
    <row r="171" spans="1:25" s="19" customFormat="1" x14ac:dyDescent="0.25">
      <c r="A171" s="88">
        <v>120</v>
      </c>
      <c r="B171" s="73" t="s">
        <v>274</v>
      </c>
      <c r="C171" s="73" t="s">
        <v>274</v>
      </c>
      <c r="D171" s="25"/>
      <c r="E171" s="27"/>
      <c r="F171" s="29"/>
      <c r="G171" s="29"/>
      <c r="H171" s="29"/>
      <c r="I171" s="30"/>
      <c r="J171" s="31"/>
      <c r="K171" s="31"/>
      <c r="L171" s="31"/>
      <c r="M171" s="31"/>
      <c r="N171" s="32"/>
      <c r="O171" s="31"/>
      <c r="P171" s="31"/>
      <c r="Q171" s="31"/>
      <c r="R171" s="31"/>
      <c r="S171" s="31"/>
      <c r="T171" s="33"/>
      <c r="U171" s="29"/>
      <c r="V171" s="34"/>
      <c r="W171" s="35"/>
      <c r="X171" s="29"/>
      <c r="Y171" s="89"/>
    </row>
    <row r="172" spans="1:25" s="19" customFormat="1" x14ac:dyDescent="0.25">
      <c r="A172" s="88">
        <v>121</v>
      </c>
      <c r="B172" s="73" t="s">
        <v>274</v>
      </c>
      <c r="C172" s="73" t="s">
        <v>274</v>
      </c>
      <c r="D172" s="25"/>
      <c r="E172" s="27"/>
      <c r="F172" s="29"/>
      <c r="G172" s="29"/>
      <c r="H172" s="29"/>
      <c r="I172" s="30"/>
      <c r="J172" s="31"/>
      <c r="K172" s="31"/>
      <c r="L172" s="31"/>
      <c r="M172" s="31"/>
      <c r="N172" s="32"/>
      <c r="O172" s="31"/>
      <c r="P172" s="31"/>
      <c r="Q172" s="31"/>
      <c r="R172" s="31"/>
      <c r="S172" s="31"/>
      <c r="T172" s="33"/>
      <c r="U172" s="29"/>
      <c r="V172" s="34"/>
      <c r="W172" s="35"/>
      <c r="X172" s="29"/>
      <c r="Y172" s="89"/>
    </row>
    <row r="173" spans="1:25" s="19" customFormat="1" x14ac:dyDescent="0.25">
      <c r="A173" s="88">
        <v>122</v>
      </c>
      <c r="B173" s="73" t="s">
        <v>274</v>
      </c>
      <c r="C173" s="73" t="s">
        <v>274</v>
      </c>
      <c r="D173" s="25"/>
      <c r="E173" s="27"/>
      <c r="F173" s="29"/>
      <c r="G173" s="29"/>
      <c r="H173" s="29"/>
      <c r="I173" s="30"/>
      <c r="J173" s="31"/>
      <c r="K173" s="31"/>
      <c r="L173" s="31"/>
      <c r="M173" s="31"/>
      <c r="N173" s="32"/>
      <c r="O173" s="31"/>
      <c r="P173" s="31"/>
      <c r="Q173" s="31"/>
      <c r="R173" s="31"/>
      <c r="S173" s="31"/>
      <c r="T173" s="33"/>
      <c r="U173" s="29"/>
      <c r="V173" s="34"/>
      <c r="W173" s="35"/>
      <c r="X173" s="29"/>
      <c r="Y173" s="89"/>
    </row>
    <row r="174" spans="1:25" s="19" customFormat="1" x14ac:dyDescent="0.25">
      <c r="A174" s="88">
        <v>123</v>
      </c>
      <c r="B174" s="73" t="s">
        <v>274</v>
      </c>
      <c r="C174" s="73" t="s">
        <v>274</v>
      </c>
      <c r="D174" s="25"/>
      <c r="E174" s="27"/>
      <c r="F174" s="29"/>
      <c r="G174" s="29"/>
      <c r="H174" s="29"/>
      <c r="I174" s="30"/>
      <c r="J174" s="31"/>
      <c r="K174" s="31"/>
      <c r="L174" s="31"/>
      <c r="M174" s="31"/>
      <c r="N174" s="32"/>
      <c r="O174" s="31"/>
      <c r="P174" s="31"/>
      <c r="Q174" s="31"/>
      <c r="R174" s="31"/>
      <c r="S174" s="31"/>
      <c r="T174" s="33"/>
      <c r="U174" s="29"/>
      <c r="V174" s="34"/>
      <c r="W174" s="35"/>
      <c r="X174" s="29"/>
      <c r="Y174" s="89"/>
    </row>
    <row r="175" spans="1:25" s="19" customFormat="1" x14ac:dyDescent="0.25">
      <c r="A175" s="88">
        <v>124</v>
      </c>
      <c r="B175" s="73" t="s">
        <v>274</v>
      </c>
      <c r="C175" s="73" t="s">
        <v>274</v>
      </c>
      <c r="D175" s="25"/>
      <c r="E175" s="27"/>
      <c r="F175" s="29"/>
      <c r="G175" s="29"/>
      <c r="H175" s="29"/>
      <c r="I175" s="30"/>
      <c r="J175" s="31"/>
      <c r="K175" s="31"/>
      <c r="L175" s="31"/>
      <c r="M175" s="31"/>
      <c r="N175" s="32"/>
      <c r="O175" s="31"/>
      <c r="P175" s="31"/>
      <c r="Q175" s="31"/>
      <c r="R175" s="31"/>
      <c r="S175" s="31"/>
      <c r="T175" s="33"/>
      <c r="U175" s="29"/>
      <c r="V175" s="34"/>
      <c r="W175" s="35"/>
      <c r="X175" s="29"/>
      <c r="Y175" s="89"/>
    </row>
    <row r="176" spans="1:25" s="19" customFormat="1" x14ac:dyDescent="0.25">
      <c r="A176" s="88">
        <v>125</v>
      </c>
      <c r="B176" s="73" t="s">
        <v>274</v>
      </c>
      <c r="C176" s="73" t="s">
        <v>274</v>
      </c>
      <c r="D176" s="25"/>
      <c r="E176" s="27"/>
      <c r="F176" s="29"/>
      <c r="G176" s="29"/>
      <c r="H176" s="29"/>
      <c r="I176" s="30"/>
      <c r="J176" s="31"/>
      <c r="K176" s="31"/>
      <c r="L176" s="31"/>
      <c r="M176" s="31"/>
      <c r="N176" s="32"/>
      <c r="O176" s="31"/>
      <c r="P176" s="31"/>
      <c r="Q176" s="31"/>
      <c r="R176" s="31"/>
      <c r="S176" s="31"/>
      <c r="T176" s="33"/>
      <c r="U176" s="29"/>
      <c r="V176" s="34"/>
      <c r="W176" s="35"/>
      <c r="X176" s="29"/>
      <c r="Y176" s="89"/>
    </row>
    <row r="177" spans="1:25" s="19" customFormat="1" x14ac:dyDescent="0.25">
      <c r="A177" s="88">
        <v>126</v>
      </c>
      <c r="B177" s="73" t="s">
        <v>274</v>
      </c>
      <c r="C177" s="73" t="s">
        <v>274</v>
      </c>
      <c r="D177" s="25"/>
      <c r="E177" s="27"/>
      <c r="F177" s="29"/>
      <c r="G177" s="29"/>
      <c r="H177" s="29"/>
      <c r="I177" s="30"/>
      <c r="J177" s="31"/>
      <c r="K177" s="31"/>
      <c r="L177" s="31"/>
      <c r="M177" s="31"/>
      <c r="N177" s="32"/>
      <c r="O177" s="31"/>
      <c r="P177" s="31"/>
      <c r="Q177" s="31"/>
      <c r="R177" s="31"/>
      <c r="S177" s="31"/>
      <c r="T177" s="33"/>
      <c r="U177" s="29"/>
      <c r="V177" s="34"/>
      <c r="W177" s="35"/>
      <c r="X177" s="29"/>
      <c r="Y177" s="89"/>
    </row>
    <row r="178" spans="1:25" s="19" customFormat="1" x14ac:dyDescent="0.25">
      <c r="A178" s="88">
        <v>127</v>
      </c>
      <c r="B178" s="73" t="s">
        <v>274</v>
      </c>
      <c r="C178" s="73" t="s">
        <v>274</v>
      </c>
      <c r="D178" s="25"/>
      <c r="E178" s="27"/>
      <c r="F178" s="29"/>
      <c r="G178" s="29"/>
      <c r="H178" s="29"/>
      <c r="I178" s="30"/>
      <c r="J178" s="31"/>
      <c r="K178" s="31"/>
      <c r="L178" s="31"/>
      <c r="M178" s="31"/>
      <c r="N178" s="32"/>
      <c r="O178" s="31"/>
      <c r="P178" s="31"/>
      <c r="Q178" s="31"/>
      <c r="R178" s="31"/>
      <c r="S178" s="31"/>
      <c r="T178" s="33"/>
      <c r="U178" s="29"/>
      <c r="V178" s="34"/>
      <c r="W178" s="35"/>
      <c r="X178" s="29"/>
      <c r="Y178" s="89"/>
    </row>
    <row r="179" spans="1:25" s="19" customFormat="1" x14ac:dyDescent="0.25">
      <c r="A179" s="88">
        <v>128</v>
      </c>
      <c r="B179" s="73" t="s">
        <v>274</v>
      </c>
      <c r="C179" s="73" t="s">
        <v>274</v>
      </c>
      <c r="D179" s="25"/>
      <c r="E179" s="27"/>
      <c r="F179" s="29"/>
      <c r="G179" s="29"/>
      <c r="H179" s="29"/>
      <c r="I179" s="30"/>
      <c r="J179" s="31"/>
      <c r="K179" s="31"/>
      <c r="L179" s="31"/>
      <c r="M179" s="31"/>
      <c r="N179" s="32"/>
      <c r="O179" s="31"/>
      <c r="P179" s="31"/>
      <c r="Q179" s="31"/>
      <c r="R179" s="31"/>
      <c r="S179" s="31"/>
      <c r="T179" s="33"/>
      <c r="U179" s="29"/>
      <c r="V179" s="34"/>
      <c r="W179" s="35"/>
      <c r="X179" s="29"/>
      <c r="Y179" s="89"/>
    </row>
    <row r="180" spans="1:25" s="19" customFormat="1" x14ac:dyDescent="0.25">
      <c r="A180" s="88">
        <v>129</v>
      </c>
      <c r="B180" s="73" t="s">
        <v>274</v>
      </c>
      <c r="C180" s="73" t="s">
        <v>274</v>
      </c>
      <c r="D180" s="25"/>
      <c r="E180" s="27"/>
      <c r="F180" s="29"/>
      <c r="G180" s="29"/>
      <c r="H180" s="29"/>
      <c r="I180" s="30"/>
      <c r="J180" s="31"/>
      <c r="K180" s="31"/>
      <c r="L180" s="31"/>
      <c r="M180" s="31"/>
      <c r="N180" s="32"/>
      <c r="O180" s="31"/>
      <c r="P180" s="31"/>
      <c r="Q180" s="31"/>
      <c r="R180" s="31"/>
      <c r="S180" s="31"/>
      <c r="T180" s="33"/>
      <c r="U180" s="29"/>
      <c r="V180" s="34"/>
      <c r="W180" s="35"/>
      <c r="X180" s="29"/>
      <c r="Y180" s="89"/>
    </row>
    <row r="181" spans="1:25" s="19" customFormat="1" x14ac:dyDescent="0.25">
      <c r="A181" s="102"/>
      <c r="B181" s="20" t="s">
        <v>258</v>
      </c>
      <c r="C181" s="20" t="s">
        <v>47</v>
      </c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91"/>
    </row>
    <row r="182" spans="1:25" s="19" customFormat="1" x14ac:dyDescent="0.25">
      <c r="A182" s="103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104"/>
    </row>
    <row r="183" spans="1:25" s="19" customFormat="1" x14ac:dyDescent="0.25">
      <c r="A183" s="88">
        <v>130</v>
      </c>
      <c r="B183" s="26" t="s">
        <v>259</v>
      </c>
      <c r="C183" s="26" t="s">
        <v>260</v>
      </c>
      <c r="D183" s="25">
        <v>15</v>
      </c>
      <c r="E183" s="27">
        <f>F183/15</f>
        <v>217</v>
      </c>
      <c r="F183" s="29">
        <v>3255</v>
      </c>
      <c r="G183" s="29">
        <v>0</v>
      </c>
      <c r="H183" s="29">
        <f>TRUNC(SUM(D183*E183)+G183,2)</f>
        <v>3255</v>
      </c>
      <c r="I183" s="30"/>
      <c r="J183" s="31">
        <v>0</v>
      </c>
      <c r="K183" s="31">
        <f>H183</f>
        <v>3255</v>
      </c>
      <c r="L183" s="31">
        <f>VLOOKUP(K183,Tarifa1,1)</f>
        <v>2077.5100000000002</v>
      </c>
      <c r="M183" s="31">
        <f>K183-L183</f>
        <v>1177.4899999999998</v>
      </c>
      <c r="N183" s="32">
        <f>VLOOKUP(K183,Tarifa1,3)</f>
        <v>0.10879999999999999</v>
      </c>
      <c r="O183" s="31">
        <f>M183*N183</f>
        <v>128.11091199999996</v>
      </c>
      <c r="P183" s="31">
        <f>VLOOKUP(K183,Tarifa1,2)</f>
        <v>121.95</v>
      </c>
      <c r="Q183" s="31">
        <f>O183+P183</f>
        <v>250.06091199999997</v>
      </c>
      <c r="R183" s="31">
        <f>VLOOKUP(K183,Credito1,2)</f>
        <v>125.1</v>
      </c>
      <c r="S183" s="31">
        <f>Q183-R183</f>
        <v>124.96091199999998</v>
      </c>
      <c r="T183" s="33"/>
      <c r="U183" s="29">
        <f>-IF(S183&gt;0,0,S183)</f>
        <v>0</v>
      </c>
      <c r="V183" s="34">
        <f>IF(S183&lt;0,0,S183)</f>
        <v>124.96091199999998</v>
      </c>
      <c r="W183" s="35">
        <v>0</v>
      </c>
      <c r="X183" s="29">
        <f>SUM(V183:W183)</f>
        <v>124.96091199999998</v>
      </c>
      <c r="Y183" s="89">
        <f>H183+U183-X183</f>
        <v>3130.039088</v>
      </c>
    </row>
    <row r="184" spans="1:25" s="19" customFormat="1" ht="26.25" x14ac:dyDescent="0.25">
      <c r="A184" s="103">
        <v>131</v>
      </c>
      <c r="B184" s="26" t="s">
        <v>261</v>
      </c>
      <c r="C184" s="26" t="s">
        <v>262</v>
      </c>
      <c r="D184" s="25">
        <v>15</v>
      </c>
      <c r="E184" s="27">
        <f>F184/15</f>
        <v>217</v>
      </c>
      <c r="F184" s="29">
        <v>3255</v>
      </c>
      <c r="G184" s="29">
        <v>0</v>
      </c>
      <c r="H184" s="29">
        <f>TRUNC(SUM(D184*E184)+G184,2)</f>
        <v>3255</v>
      </c>
      <c r="I184" s="30"/>
      <c r="J184" s="31">
        <v>0</v>
      </c>
      <c r="K184" s="31">
        <f>H184</f>
        <v>3255</v>
      </c>
      <c r="L184" s="31">
        <f>VLOOKUP(K184,Tarifa1,1)</f>
        <v>2077.5100000000002</v>
      </c>
      <c r="M184" s="31">
        <f>K184-L184</f>
        <v>1177.4899999999998</v>
      </c>
      <c r="N184" s="32">
        <f>VLOOKUP(K184,Tarifa1,3)</f>
        <v>0.10879999999999999</v>
      </c>
      <c r="O184" s="31">
        <f>M184*N184</f>
        <v>128.11091199999996</v>
      </c>
      <c r="P184" s="31">
        <f>VLOOKUP(K184,Tarifa1,2)</f>
        <v>121.95</v>
      </c>
      <c r="Q184" s="31">
        <f>O184+P184</f>
        <v>250.06091199999997</v>
      </c>
      <c r="R184" s="31">
        <f>VLOOKUP(K184,Credito1,2)</f>
        <v>125.1</v>
      </c>
      <c r="S184" s="31">
        <f>Q184-R184</f>
        <v>124.96091199999998</v>
      </c>
      <c r="T184" s="33"/>
      <c r="U184" s="29">
        <f>-IF(S184&gt;0,0,S184)</f>
        <v>0</v>
      </c>
      <c r="V184" s="34">
        <f>IF(S184&lt;0,0,S184)</f>
        <v>124.96091199999998</v>
      </c>
      <c r="W184" s="35">
        <v>0</v>
      </c>
      <c r="X184" s="29">
        <f>SUM(V184:W184)</f>
        <v>124.96091199999998</v>
      </c>
      <c r="Y184" s="89">
        <f>H184+U184-X184</f>
        <v>3130.039088</v>
      </c>
    </row>
    <row r="185" spans="1:25" s="19" customFormat="1" ht="26.25" x14ac:dyDescent="0.25">
      <c r="A185" s="103">
        <v>132</v>
      </c>
      <c r="B185" s="26" t="s">
        <v>263</v>
      </c>
      <c r="C185" s="26" t="s">
        <v>264</v>
      </c>
      <c r="D185" s="25">
        <v>15</v>
      </c>
      <c r="E185" s="27">
        <f>F185/15</f>
        <v>133.66666666666666</v>
      </c>
      <c r="F185" s="29">
        <v>2005</v>
      </c>
      <c r="G185" s="29">
        <v>0</v>
      </c>
      <c r="H185" s="29">
        <f>TRUNC(SUM(D185*E185)+G185,2)</f>
        <v>2005</v>
      </c>
      <c r="I185" s="30"/>
      <c r="J185" s="31">
        <v>0</v>
      </c>
      <c r="K185" s="31">
        <f>H185</f>
        <v>2005</v>
      </c>
      <c r="L185" s="31">
        <f>VLOOKUP(K185,Tarifa1,1)</f>
        <v>244.81</v>
      </c>
      <c r="M185" s="31">
        <f>K185-L185</f>
        <v>1760.19</v>
      </c>
      <c r="N185" s="32">
        <f>VLOOKUP(K185,Tarifa1,3)</f>
        <v>6.4000000000000001E-2</v>
      </c>
      <c r="O185" s="31">
        <f>M185*N185</f>
        <v>112.65216000000001</v>
      </c>
      <c r="P185" s="31">
        <f>VLOOKUP(K185,Tarifa1,2)</f>
        <v>4.6500000000000004</v>
      </c>
      <c r="Q185" s="31">
        <f>O185+P185</f>
        <v>117.30216000000001</v>
      </c>
      <c r="R185" s="31">
        <f>VLOOKUP(K185,Credito1,2)</f>
        <v>188.7</v>
      </c>
      <c r="S185" s="31">
        <f>Q185-R185</f>
        <v>-71.397839999999974</v>
      </c>
      <c r="T185" s="33"/>
      <c r="U185" s="29">
        <f>-IF(S185&gt;0,0,S185)</f>
        <v>71.397839999999974</v>
      </c>
      <c r="V185" s="34">
        <f>IF(S185&lt;0,0,S185)</f>
        <v>0</v>
      </c>
      <c r="W185" s="35">
        <v>0</v>
      </c>
      <c r="X185" s="29">
        <f>SUM(V185:W185)</f>
        <v>0</v>
      </c>
      <c r="Y185" s="89">
        <f>H185+U185-X185</f>
        <v>2076.3978400000001</v>
      </c>
    </row>
    <row r="186" spans="1:25" s="19" customFormat="1" x14ac:dyDescent="0.25">
      <c r="A186" s="103">
        <v>13</v>
      </c>
      <c r="B186" s="26" t="s">
        <v>265</v>
      </c>
      <c r="C186" s="26" t="s">
        <v>262</v>
      </c>
      <c r="D186" s="25">
        <v>15</v>
      </c>
      <c r="E186" s="27">
        <f>F186/15</f>
        <v>133.66666666666666</v>
      </c>
      <c r="F186" s="29">
        <v>2005</v>
      </c>
      <c r="G186" s="29">
        <v>0</v>
      </c>
      <c r="H186" s="29">
        <f>TRUNC(SUM(D186*E186)+G186,2)</f>
        <v>2005</v>
      </c>
      <c r="I186" s="30"/>
      <c r="J186" s="31">
        <v>0</v>
      </c>
      <c r="K186" s="31">
        <f>H186</f>
        <v>2005</v>
      </c>
      <c r="L186" s="31">
        <f>VLOOKUP(K186,Tarifa1,1)</f>
        <v>244.81</v>
      </c>
      <c r="M186" s="31">
        <f>K186-L186</f>
        <v>1760.19</v>
      </c>
      <c r="N186" s="32">
        <f>VLOOKUP(K186,Tarifa1,3)</f>
        <v>6.4000000000000001E-2</v>
      </c>
      <c r="O186" s="31">
        <f>M186*N186</f>
        <v>112.65216000000001</v>
      </c>
      <c r="P186" s="31">
        <f>VLOOKUP(K186,Tarifa1,2)</f>
        <v>4.6500000000000004</v>
      </c>
      <c r="Q186" s="31">
        <f>O186+P186</f>
        <v>117.30216000000001</v>
      </c>
      <c r="R186" s="31">
        <f>VLOOKUP(K186,Credito1,2)</f>
        <v>188.7</v>
      </c>
      <c r="S186" s="31">
        <f>Q186-R186</f>
        <v>-71.397839999999974</v>
      </c>
      <c r="T186" s="33"/>
      <c r="U186" s="29">
        <f>-IF(S186&gt;0,0,S186)</f>
        <v>71.397839999999974</v>
      </c>
      <c r="V186" s="34">
        <f>IF(S186&lt;0,0,S186)</f>
        <v>0</v>
      </c>
      <c r="W186" s="35">
        <v>0</v>
      </c>
      <c r="X186" s="29">
        <f>SUM(V186:W186)</f>
        <v>0</v>
      </c>
      <c r="Y186" s="89">
        <f>H186+U186-X186</f>
        <v>2076.3978400000001</v>
      </c>
    </row>
    <row r="187" spans="1:25" s="19" customFormat="1" x14ac:dyDescent="0.25">
      <c r="A187" s="105"/>
      <c r="B187" s="22" t="s">
        <v>266</v>
      </c>
      <c r="C187" s="22" t="s">
        <v>47</v>
      </c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98"/>
    </row>
    <row r="188" spans="1:25" s="19" customFormat="1" x14ac:dyDescent="0.25">
      <c r="A188" s="99"/>
      <c r="B188" s="59"/>
      <c r="C188" s="59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100"/>
    </row>
    <row r="189" spans="1:25" s="19" customFormat="1" x14ac:dyDescent="0.25">
      <c r="A189" s="101">
        <v>134</v>
      </c>
      <c r="B189" s="26" t="s">
        <v>267</v>
      </c>
      <c r="C189" s="26" t="s">
        <v>268</v>
      </c>
      <c r="D189" s="25"/>
      <c r="E189" s="61"/>
      <c r="F189" s="28">
        <v>819.32</v>
      </c>
      <c r="G189" s="42">
        <v>0</v>
      </c>
      <c r="H189" s="47">
        <f>SUM(F189:G189)</f>
        <v>819.32</v>
      </c>
      <c r="I189" s="48"/>
      <c r="J189" s="49">
        <v>0</v>
      </c>
      <c r="K189" s="49">
        <f>F189+J189</f>
        <v>819.32</v>
      </c>
      <c r="L189" s="49">
        <f>VLOOKUP(K189,Tarifa1,1)</f>
        <v>244.81</v>
      </c>
      <c r="M189" s="49">
        <f>K189-L189</f>
        <v>574.51</v>
      </c>
      <c r="N189" s="50">
        <f>VLOOKUP(K189,Tarifa1,3)</f>
        <v>6.4000000000000001E-2</v>
      </c>
      <c r="O189" s="49">
        <f>M189*N189</f>
        <v>36.768639999999998</v>
      </c>
      <c r="P189" s="49">
        <f>VLOOKUP(K189,Tarifa1,2)</f>
        <v>4.6500000000000004</v>
      </c>
      <c r="Q189" s="49">
        <f>O189+P189</f>
        <v>41.418639999999996</v>
      </c>
      <c r="R189" s="49">
        <f>VLOOKUP(K189,Credito1,2)</f>
        <v>200.85</v>
      </c>
      <c r="S189" s="49">
        <f>Q189-R189</f>
        <v>-159.43135999999998</v>
      </c>
      <c r="T189" s="51"/>
      <c r="U189" s="47">
        <v>0</v>
      </c>
      <c r="V189" s="52">
        <f>IF(S189&lt;0,0,S189)</f>
        <v>0</v>
      </c>
      <c r="W189" s="53">
        <v>0</v>
      </c>
      <c r="X189" s="47">
        <f>SUM(V189:W189)</f>
        <v>0</v>
      </c>
      <c r="Y189" s="94">
        <f>H189+U189-X189</f>
        <v>819.32</v>
      </c>
    </row>
    <row r="190" spans="1:25" s="19" customFormat="1" x14ac:dyDescent="0.25">
      <c r="A190" s="101">
        <v>135</v>
      </c>
      <c r="B190" s="26" t="s">
        <v>269</v>
      </c>
      <c r="C190" s="26" t="s">
        <v>270</v>
      </c>
      <c r="D190" s="25"/>
      <c r="E190" s="61"/>
      <c r="F190" s="28">
        <v>1719.21</v>
      </c>
      <c r="G190" s="42">
        <v>0</v>
      </c>
      <c r="H190" s="47">
        <f>SUM(F190:G190)</f>
        <v>1719.21</v>
      </c>
      <c r="I190" s="48"/>
      <c r="J190" s="49">
        <v>0</v>
      </c>
      <c r="K190" s="49">
        <f>F190+J190</f>
        <v>1719.21</v>
      </c>
      <c r="L190" s="49">
        <f>VLOOKUP(K190,Tarifa1,1)</f>
        <v>244.81</v>
      </c>
      <c r="M190" s="49">
        <f>K190-L190</f>
        <v>1474.4</v>
      </c>
      <c r="N190" s="50">
        <f>VLOOKUP(K190,Tarifa1,3)</f>
        <v>6.4000000000000001E-2</v>
      </c>
      <c r="O190" s="49">
        <f>M190*N190</f>
        <v>94.36160000000001</v>
      </c>
      <c r="P190" s="49">
        <f>VLOOKUP(K190,Tarifa1,2)</f>
        <v>4.6500000000000004</v>
      </c>
      <c r="Q190" s="49">
        <f>O190+P190</f>
        <v>99.011600000000016</v>
      </c>
      <c r="R190" s="49">
        <f>VLOOKUP(K190,Credito1,2)</f>
        <v>193.8</v>
      </c>
      <c r="S190" s="49">
        <f>Q190-R190</f>
        <v>-94.788399999999996</v>
      </c>
      <c r="T190" s="51"/>
      <c r="U190" s="47">
        <v>0</v>
      </c>
      <c r="V190" s="52">
        <f>IF(S190&lt;0,0,S190)</f>
        <v>0</v>
      </c>
      <c r="W190" s="53">
        <v>0</v>
      </c>
      <c r="X190" s="47">
        <f>SUM(V190:W190)</f>
        <v>0</v>
      </c>
      <c r="Y190" s="94">
        <f>H190+U190-X190</f>
        <v>1719.21</v>
      </c>
    </row>
    <row r="191" spans="1:25" s="19" customFormat="1" x14ac:dyDescent="0.25">
      <c r="A191" s="101">
        <v>136</v>
      </c>
      <c r="B191" s="26" t="s">
        <v>271</v>
      </c>
      <c r="C191" s="26" t="s">
        <v>272</v>
      </c>
      <c r="D191" s="25"/>
      <c r="E191" s="61"/>
      <c r="F191" s="28">
        <v>2098.85</v>
      </c>
      <c r="G191" s="42">
        <v>0</v>
      </c>
      <c r="H191" s="47">
        <f>SUM(F191:G191)</f>
        <v>2098.85</v>
      </c>
      <c r="I191" s="48"/>
      <c r="J191" s="49">
        <v>0</v>
      </c>
      <c r="K191" s="49">
        <f>F191+J191</f>
        <v>2098.85</v>
      </c>
      <c r="L191" s="49">
        <f>VLOOKUP(K191,Tarifa1,1)</f>
        <v>2077.5100000000002</v>
      </c>
      <c r="M191" s="49">
        <f>K191-L191</f>
        <v>21.339999999999691</v>
      </c>
      <c r="N191" s="50">
        <f>VLOOKUP(K191,Tarifa1,3)</f>
        <v>0.10879999999999999</v>
      </c>
      <c r="O191" s="49">
        <f>M191*N191</f>
        <v>2.3217919999999661</v>
      </c>
      <c r="P191" s="49">
        <f>VLOOKUP(K191,Tarifa1,2)</f>
        <v>121.95</v>
      </c>
      <c r="Q191" s="49">
        <f>O191+P191</f>
        <v>124.27179199999996</v>
      </c>
      <c r="R191" s="49">
        <f>VLOOKUP(K191,Credito1,2)</f>
        <v>188.7</v>
      </c>
      <c r="S191" s="49">
        <f>Q191-R191</f>
        <v>-64.428208000000026</v>
      </c>
      <c r="T191" s="51"/>
      <c r="U191" s="47">
        <v>0</v>
      </c>
      <c r="V191" s="52">
        <f>IF(S191&lt;0,0,S191)</f>
        <v>0</v>
      </c>
      <c r="W191" s="53">
        <v>0</v>
      </c>
      <c r="X191" s="47">
        <f>SUM(V191:W191)</f>
        <v>0</v>
      </c>
      <c r="Y191" s="94">
        <f>H191+U191-X191</f>
        <v>2098.85</v>
      </c>
    </row>
    <row r="192" spans="1:25" s="19" customFormat="1" ht="15.75" thickBot="1" x14ac:dyDescent="0.3">
      <c r="A192" s="106">
        <v>137</v>
      </c>
      <c r="B192" s="107" t="s">
        <v>273</v>
      </c>
      <c r="C192" s="107" t="s">
        <v>72</v>
      </c>
      <c r="D192" s="108"/>
      <c r="E192" s="109"/>
      <c r="F192" s="110">
        <v>1964.73</v>
      </c>
      <c r="G192" s="111">
        <v>0</v>
      </c>
      <c r="H192" s="112">
        <f>SUM(F192:G192)</f>
        <v>1964.73</v>
      </c>
      <c r="I192" s="113"/>
      <c r="J192" s="114"/>
      <c r="K192" s="114"/>
      <c r="L192" s="114"/>
      <c r="M192" s="114"/>
      <c r="N192" s="115"/>
      <c r="O192" s="114"/>
      <c r="P192" s="114"/>
      <c r="Q192" s="114"/>
      <c r="R192" s="114"/>
      <c r="S192" s="114"/>
      <c r="T192" s="116"/>
      <c r="U192" s="112">
        <v>0</v>
      </c>
      <c r="V192" s="117"/>
      <c r="W192" s="118">
        <v>0</v>
      </c>
      <c r="X192" s="112">
        <f>SUM(V192:W192)</f>
        <v>0</v>
      </c>
      <c r="Y192" s="119">
        <f>H192+U192-X192</f>
        <v>1964.73</v>
      </c>
    </row>
  </sheetData>
  <mergeCells count="7">
    <mergeCell ref="V5:V6"/>
    <mergeCell ref="A1:Y1"/>
    <mergeCell ref="A2:Y2"/>
    <mergeCell ref="A3:Y3"/>
    <mergeCell ref="F4:H4"/>
    <mergeCell ref="L4:Q4"/>
    <mergeCell ref="V4:X4"/>
  </mergeCells>
  <pageMargins left="0.70866141732283472" right="0.70866141732283472" top="0.74803149606299213" bottom="0.74803149606299213" header="0.31496062992125984" footer="0.31496062992125984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2016-11-04T19:04:14Z</cp:lastPrinted>
  <dcterms:created xsi:type="dcterms:W3CDTF">2016-11-04T18:52:23Z</dcterms:created>
  <dcterms:modified xsi:type="dcterms:W3CDTF">2016-11-04T19:05:17Z</dcterms:modified>
</cp:coreProperties>
</file>