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MARZO 2016\"/>
    </mc:Choice>
  </mc:AlternateContent>
  <workbookProtection workbookAlgorithmName="SHA-512" workbookHashValue="GtvopHUZNWnnH5lW+OQRXGvDWKjtye4SZjyUyKfbpad52RrRJrUVgI7z9iGUfdcgONDN87F0/a2Lz91grT6SaA==" workbookSaltValue="7IUo2L4sriOZ1LCTwprX2Q==" workbookSpinCount="100000" lockStructure="1"/>
  <bookViews>
    <workbookView xWindow="0" yWindow="0" windowWidth="20490" windowHeight="7155"/>
  </bookViews>
  <sheets>
    <sheet name="Remuneracion 2da mar-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22" i="1" l="1"/>
  <c r="H222" i="1"/>
  <c r="Y222" i="1" s="1"/>
  <c r="N221" i="1"/>
  <c r="K221" i="1"/>
  <c r="P221" i="1" s="1"/>
  <c r="H221" i="1"/>
  <c r="K220" i="1"/>
  <c r="R220" i="1" s="1"/>
  <c r="H220" i="1"/>
  <c r="K219" i="1"/>
  <c r="R219" i="1" s="1"/>
  <c r="H219" i="1"/>
  <c r="E216" i="1"/>
  <c r="H216" i="1" s="1"/>
  <c r="E215" i="1"/>
  <c r="H215" i="1" s="1"/>
  <c r="E214" i="1"/>
  <c r="H214" i="1" s="1"/>
  <c r="E213" i="1"/>
  <c r="H213" i="1" s="1"/>
  <c r="E183" i="1"/>
  <c r="H183" i="1" s="1"/>
  <c r="K182" i="1"/>
  <c r="E181" i="1"/>
  <c r="H181" i="1" s="1"/>
  <c r="K179" i="1"/>
  <c r="E178" i="1"/>
  <c r="H178" i="1" s="1"/>
  <c r="E177" i="1"/>
  <c r="H177" i="1" s="1"/>
  <c r="K177" i="1" s="1"/>
  <c r="R175" i="1"/>
  <c r="N175" i="1"/>
  <c r="K175" i="1"/>
  <c r="P175" i="1" s="1"/>
  <c r="H174" i="1"/>
  <c r="E174" i="1"/>
  <c r="E173" i="1"/>
  <c r="H173" i="1" s="1"/>
  <c r="E172" i="1"/>
  <c r="H172" i="1" s="1"/>
  <c r="K171" i="1"/>
  <c r="E171" i="1"/>
  <c r="H171" i="1" s="1"/>
  <c r="H170" i="1"/>
  <c r="E170" i="1"/>
  <c r="E169" i="1"/>
  <c r="H169" i="1" s="1"/>
  <c r="E168" i="1"/>
  <c r="H168" i="1" s="1"/>
  <c r="K167" i="1"/>
  <c r="E167" i="1"/>
  <c r="H167" i="1" s="1"/>
  <c r="H165" i="1"/>
  <c r="E165" i="1"/>
  <c r="X162" i="1"/>
  <c r="Y162" i="1" s="1"/>
  <c r="N162" i="1"/>
  <c r="K162" i="1"/>
  <c r="R162" i="1" s="1"/>
  <c r="E162" i="1"/>
  <c r="X160" i="1"/>
  <c r="Y160" i="1" s="1"/>
  <c r="R160" i="1"/>
  <c r="K160" i="1"/>
  <c r="N160" i="1" s="1"/>
  <c r="H159" i="1"/>
  <c r="E159" i="1"/>
  <c r="H158" i="1"/>
  <c r="E158" i="1"/>
  <c r="E157" i="1"/>
  <c r="H157" i="1" s="1"/>
  <c r="E156" i="1"/>
  <c r="H156" i="1" s="1"/>
  <c r="E155" i="1"/>
  <c r="H155" i="1" s="1"/>
  <c r="K155" i="1" s="1"/>
  <c r="R155" i="1" s="1"/>
  <c r="E154" i="1"/>
  <c r="H154" i="1" s="1"/>
  <c r="V153" i="1"/>
  <c r="X153" i="1" s="1"/>
  <c r="H153" i="1"/>
  <c r="Y153" i="1" s="1"/>
  <c r="E153" i="1"/>
  <c r="H152" i="1"/>
  <c r="E152" i="1"/>
  <c r="E151" i="1"/>
  <c r="H151" i="1" s="1"/>
  <c r="E150" i="1"/>
  <c r="H150" i="1" s="1"/>
  <c r="E149" i="1"/>
  <c r="H149" i="1" s="1"/>
  <c r="K149" i="1" s="1"/>
  <c r="R149" i="1" s="1"/>
  <c r="E148" i="1"/>
  <c r="H148" i="1" s="1"/>
  <c r="X147" i="1"/>
  <c r="E147" i="1"/>
  <c r="H147" i="1" s="1"/>
  <c r="H146" i="1"/>
  <c r="K146" i="1" s="1"/>
  <c r="R146" i="1" s="1"/>
  <c r="E146" i="1"/>
  <c r="X145" i="1"/>
  <c r="K145" i="1"/>
  <c r="R145" i="1" s="1"/>
  <c r="E145" i="1"/>
  <c r="E144" i="1"/>
  <c r="H144" i="1" s="1"/>
  <c r="K144" i="1" s="1"/>
  <c r="R144" i="1" s="1"/>
  <c r="E143" i="1"/>
  <c r="H143" i="1" s="1"/>
  <c r="X141" i="1"/>
  <c r="E141" i="1"/>
  <c r="H141" i="1" s="1"/>
  <c r="E140" i="1"/>
  <c r="H140" i="1" s="1"/>
  <c r="E138" i="1"/>
  <c r="H138" i="1" s="1"/>
  <c r="E136" i="1"/>
  <c r="H136" i="1" s="1"/>
  <c r="E134" i="1"/>
  <c r="H134" i="1" s="1"/>
  <c r="K134" i="1" s="1"/>
  <c r="H133" i="1"/>
  <c r="E133" i="1"/>
  <c r="E132" i="1"/>
  <c r="H132" i="1" s="1"/>
  <c r="E130" i="1"/>
  <c r="H130" i="1" s="1"/>
  <c r="K128" i="1"/>
  <c r="E128" i="1"/>
  <c r="H128" i="1" s="1"/>
  <c r="H126" i="1"/>
  <c r="E126" i="1"/>
  <c r="E125" i="1"/>
  <c r="H125" i="1" s="1"/>
  <c r="E123" i="1"/>
  <c r="H123" i="1" s="1"/>
  <c r="E120" i="1"/>
  <c r="H120" i="1" s="1"/>
  <c r="H119" i="1"/>
  <c r="K119" i="1" s="1"/>
  <c r="R119" i="1" s="1"/>
  <c r="E119" i="1"/>
  <c r="H118" i="1"/>
  <c r="E118" i="1"/>
  <c r="E116" i="1"/>
  <c r="H116" i="1" s="1"/>
  <c r="E115" i="1"/>
  <c r="H115" i="1" s="1"/>
  <c r="E114" i="1"/>
  <c r="H114" i="1" s="1"/>
  <c r="K114" i="1" s="1"/>
  <c r="R114" i="1" s="1"/>
  <c r="E113" i="1"/>
  <c r="H113" i="1" s="1"/>
  <c r="E112" i="1"/>
  <c r="H112" i="1" s="1"/>
  <c r="E111" i="1"/>
  <c r="H111" i="1" s="1"/>
  <c r="H110" i="1"/>
  <c r="K110" i="1" s="1"/>
  <c r="R110" i="1" s="1"/>
  <c r="E110" i="1"/>
  <c r="H108" i="1"/>
  <c r="E108" i="1"/>
  <c r="E107" i="1"/>
  <c r="H107" i="1" s="1"/>
  <c r="E105" i="1"/>
  <c r="H105" i="1" s="1"/>
  <c r="E102" i="1"/>
  <c r="H102" i="1" s="1"/>
  <c r="H100" i="1"/>
  <c r="E100" i="1"/>
  <c r="E98" i="1"/>
  <c r="H98" i="1" s="1"/>
  <c r="E97" i="1"/>
  <c r="H97" i="1" s="1"/>
  <c r="E96" i="1"/>
  <c r="H96" i="1" s="1"/>
  <c r="H95" i="1"/>
  <c r="E95" i="1"/>
  <c r="H93" i="1"/>
  <c r="E93" i="1"/>
  <c r="E91" i="1"/>
  <c r="H91" i="1" s="1"/>
  <c r="E90" i="1"/>
  <c r="H90" i="1" s="1"/>
  <c r="E89" i="1"/>
  <c r="H89" i="1" s="1"/>
  <c r="H88" i="1"/>
  <c r="E88" i="1"/>
  <c r="E87" i="1"/>
  <c r="H87" i="1" s="1"/>
  <c r="E86" i="1"/>
  <c r="H86" i="1" s="1"/>
  <c r="E85" i="1"/>
  <c r="H85" i="1" s="1"/>
  <c r="H83" i="1"/>
  <c r="E83" i="1"/>
  <c r="E82" i="1"/>
  <c r="H82" i="1" s="1"/>
  <c r="K82" i="1" s="1"/>
  <c r="E81" i="1"/>
  <c r="H81" i="1" s="1"/>
  <c r="E79" i="1"/>
  <c r="H79" i="1" s="1"/>
  <c r="H77" i="1"/>
  <c r="E77" i="1"/>
  <c r="K76" i="1"/>
  <c r="E76" i="1"/>
  <c r="H76" i="1" s="1"/>
  <c r="H74" i="1"/>
  <c r="E74" i="1"/>
  <c r="E73" i="1"/>
  <c r="H73" i="1" s="1"/>
  <c r="E71" i="1"/>
  <c r="H71" i="1" s="1"/>
  <c r="E70" i="1"/>
  <c r="H70" i="1" s="1"/>
  <c r="E69" i="1"/>
  <c r="H69" i="1" s="1"/>
  <c r="E67" i="1"/>
  <c r="H67" i="1" s="1"/>
  <c r="H66" i="1"/>
  <c r="E66" i="1"/>
  <c r="E64" i="1"/>
  <c r="H64" i="1" s="1"/>
  <c r="E62" i="1"/>
  <c r="H62" i="1" s="1"/>
  <c r="E60" i="1"/>
  <c r="H60" i="1" s="1"/>
  <c r="E58" i="1"/>
  <c r="H58" i="1" s="1"/>
  <c r="E57" i="1"/>
  <c r="H57" i="1" s="1"/>
  <c r="E55" i="1"/>
  <c r="H55" i="1" s="1"/>
  <c r="E53" i="1"/>
  <c r="H53" i="1" s="1"/>
  <c r="H51" i="1"/>
  <c r="E51" i="1"/>
  <c r="E50" i="1"/>
  <c r="H50" i="1" s="1"/>
  <c r="E49" i="1"/>
  <c r="H49" i="1" s="1"/>
  <c r="E48" i="1"/>
  <c r="H48" i="1" s="1"/>
  <c r="E47" i="1"/>
  <c r="H47" i="1" s="1"/>
  <c r="K47" i="1" s="1"/>
  <c r="E46" i="1"/>
  <c r="H46" i="1" s="1"/>
  <c r="E43" i="1"/>
  <c r="H43" i="1" s="1"/>
  <c r="E41" i="1"/>
  <c r="H41" i="1" s="1"/>
  <c r="H40" i="1"/>
  <c r="E40" i="1"/>
  <c r="E38" i="1"/>
  <c r="H38" i="1" s="1"/>
  <c r="E36" i="1"/>
  <c r="H36" i="1" s="1"/>
  <c r="E34" i="1"/>
  <c r="H34" i="1" s="1"/>
  <c r="E32" i="1"/>
  <c r="H32" i="1" s="1"/>
  <c r="E31" i="1"/>
  <c r="H31" i="1" s="1"/>
  <c r="E29" i="1"/>
  <c r="H29" i="1" s="1"/>
  <c r="E27" i="1"/>
  <c r="H27" i="1" s="1"/>
  <c r="H25" i="1"/>
  <c r="E25" i="1"/>
  <c r="E24" i="1"/>
  <c r="H24" i="1" s="1"/>
  <c r="E23" i="1"/>
  <c r="H23" i="1" s="1"/>
  <c r="E22" i="1"/>
  <c r="H22" i="1" s="1"/>
  <c r="K22" i="1" s="1"/>
  <c r="E21" i="1"/>
  <c r="H21" i="1" s="1"/>
  <c r="E20" i="1"/>
  <c r="H20" i="1" s="1"/>
  <c r="H17" i="1"/>
  <c r="E17" i="1"/>
  <c r="K16" i="1"/>
  <c r="R16" i="1" s="1"/>
  <c r="E16" i="1"/>
  <c r="E15" i="1"/>
  <c r="H15" i="1" s="1"/>
  <c r="E14" i="1"/>
  <c r="H14" i="1" s="1"/>
  <c r="E13" i="1"/>
  <c r="H13" i="1" s="1"/>
  <c r="H12" i="1"/>
  <c r="E12" i="1"/>
  <c r="E11" i="1"/>
  <c r="H11" i="1" s="1"/>
  <c r="E10" i="1"/>
  <c r="H10" i="1" s="1"/>
  <c r="E9" i="1"/>
  <c r="H9" i="1" s="1"/>
  <c r="H8" i="1"/>
  <c r="E8" i="1"/>
  <c r="N145" i="1" l="1"/>
  <c r="K159" i="1"/>
  <c r="R159" i="1" s="1"/>
  <c r="R221" i="1"/>
  <c r="P145" i="1"/>
  <c r="L219" i="1"/>
  <c r="M219" i="1" s="1"/>
  <c r="L145" i="1"/>
  <c r="M145" i="1" s="1"/>
  <c r="O145" i="1" s="1"/>
  <c r="Q145" i="1" s="1"/>
  <c r="S145" i="1" s="1"/>
  <c r="U145" i="1" s="1"/>
  <c r="Y145" i="1" s="1"/>
  <c r="P219" i="1"/>
  <c r="L220" i="1"/>
  <c r="M220" i="1" s="1"/>
  <c r="P220" i="1"/>
  <c r="N219" i="1"/>
  <c r="L221" i="1"/>
  <c r="M221" i="1" s="1"/>
  <c r="O221" i="1" s="1"/>
  <c r="Q221" i="1" s="1"/>
  <c r="N220" i="1"/>
  <c r="K215" i="1"/>
  <c r="K213" i="1"/>
  <c r="K216" i="1"/>
  <c r="K214" i="1"/>
  <c r="R171" i="1"/>
  <c r="N171" i="1"/>
  <c r="P171" i="1"/>
  <c r="L171" i="1"/>
  <c r="M171" i="1"/>
  <c r="O171" i="1" s="1"/>
  <c r="K173" i="1"/>
  <c r="K178" i="1"/>
  <c r="K181" i="1"/>
  <c r="R182" i="1"/>
  <c r="N182" i="1"/>
  <c r="P182" i="1"/>
  <c r="L182" i="1"/>
  <c r="M182" i="1" s="1"/>
  <c r="K183" i="1"/>
  <c r="K174" i="1"/>
  <c r="R167" i="1"/>
  <c r="N167" i="1"/>
  <c r="P167" i="1"/>
  <c r="L167" i="1"/>
  <c r="M167" i="1" s="1"/>
  <c r="O167" i="1" s="1"/>
  <c r="K168" i="1"/>
  <c r="K169" i="1"/>
  <c r="K172" i="1"/>
  <c r="R177" i="1"/>
  <c r="N177" i="1"/>
  <c r="P177" i="1"/>
  <c r="L177" i="1"/>
  <c r="M177" i="1" s="1"/>
  <c r="R179" i="1"/>
  <c r="N179" i="1"/>
  <c r="P179" i="1"/>
  <c r="L179" i="1"/>
  <c r="M179" i="1" s="1"/>
  <c r="K165" i="1"/>
  <c r="K170" i="1"/>
  <c r="L175" i="1"/>
  <c r="M175" i="1" s="1"/>
  <c r="O175" i="1" s="1"/>
  <c r="Q175" i="1" s="1"/>
  <c r="S175" i="1" s="1"/>
  <c r="K150" i="1"/>
  <c r="K147" i="1"/>
  <c r="K157" i="1"/>
  <c r="K156" i="1"/>
  <c r="K151" i="1"/>
  <c r="K143" i="1"/>
  <c r="L144" i="1"/>
  <c r="M144" i="1" s="1"/>
  <c r="O144" i="1" s="1"/>
  <c r="Q144" i="1" s="1"/>
  <c r="S144" i="1" s="1"/>
  <c r="P144" i="1"/>
  <c r="L146" i="1"/>
  <c r="M146" i="1" s="1"/>
  <c r="P146" i="1"/>
  <c r="K148" i="1"/>
  <c r="L149" i="1"/>
  <c r="P149" i="1"/>
  <c r="K152" i="1"/>
  <c r="K154" i="1"/>
  <c r="L155" i="1"/>
  <c r="M155" i="1" s="1"/>
  <c r="P155" i="1"/>
  <c r="K158" i="1"/>
  <c r="L159" i="1"/>
  <c r="M159" i="1" s="1"/>
  <c r="P159" i="1"/>
  <c r="M149" i="1"/>
  <c r="L160" i="1"/>
  <c r="M160" i="1" s="1"/>
  <c r="O160" i="1" s="1"/>
  <c r="P160" i="1"/>
  <c r="L162" i="1"/>
  <c r="M162" i="1" s="1"/>
  <c r="O162" i="1" s="1"/>
  <c r="P162" i="1"/>
  <c r="N144" i="1"/>
  <c r="N146" i="1"/>
  <c r="N149" i="1"/>
  <c r="N155" i="1"/>
  <c r="N159" i="1"/>
  <c r="R134" i="1"/>
  <c r="N134" i="1"/>
  <c r="P134" i="1"/>
  <c r="L134" i="1"/>
  <c r="M134" i="1" s="1"/>
  <c r="O134" i="1" s="1"/>
  <c r="R128" i="1"/>
  <c r="N128" i="1"/>
  <c r="P128" i="1"/>
  <c r="L128" i="1"/>
  <c r="M128" i="1" s="1"/>
  <c r="O128" i="1" s="1"/>
  <c r="K132" i="1"/>
  <c r="K133" i="1"/>
  <c r="K123" i="1"/>
  <c r="K136" i="1"/>
  <c r="K138" i="1"/>
  <c r="K141" i="1"/>
  <c r="K130" i="1"/>
  <c r="K125" i="1"/>
  <c r="K126" i="1"/>
  <c r="K140" i="1"/>
  <c r="K115" i="1"/>
  <c r="K111" i="1"/>
  <c r="K116" i="1"/>
  <c r="K112" i="1"/>
  <c r="K120" i="1"/>
  <c r="L110" i="1"/>
  <c r="P110" i="1"/>
  <c r="K113" i="1"/>
  <c r="L114" i="1"/>
  <c r="M114" i="1" s="1"/>
  <c r="P114" i="1"/>
  <c r="K118" i="1"/>
  <c r="L119" i="1"/>
  <c r="P119" i="1"/>
  <c r="M110" i="1"/>
  <c r="M119" i="1"/>
  <c r="N110" i="1"/>
  <c r="N114" i="1"/>
  <c r="N119" i="1"/>
  <c r="K107" i="1"/>
  <c r="K102" i="1"/>
  <c r="K96" i="1"/>
  <c r="K98" i="1"/>
  <c r="K97" i="1"/>
  <c r="K105" i="1"/>
  <c r="K95" i="1"/>
  <c r="K100" i="1"/>
  <c r="K108" i="1"/>
  <c r="R82" i="1"/>
  <c r="N82" i="1"/>
  <c r="P82" i="1"/>
  <c r="L82" i="1"/>
  <c r="M82" i="1" s="1"/>
  <c r="O82" i="1" s="1"/>
  <c r="Q82" i="1" s="1"/>
  <c r="S82" i="1" s="1"/>
  <c r="R76" i="1"/>
  <c r="N76" i="1"/>
  <c r="P76" i="1"/>
  <c r="L76" i="1"/>
  <c r="M76" i="1" s="1"/>
  <c r="O76" i="1" s="1"/>
  <c r="Q76" i="1" s="1"/>
  <c r="S76" i="1" s="1"/>
  <c r="K85" i="1"/>
  <c r="K70" i="1"/>
  <c r="K79" i="1"/>
  <c r="K91" i="1"/>
  <c r="K73" i="1"/>
  <c r="K81" i="1"/>
  <c r="L89" i="1"/>
  <c r="K89" i="1"/>
  <c r="P89" i="1" s="1"/>
  <c r="R89" i="1"/>
  <c r="N89" i="1"/>
  <c r="K74" i="1"/>
  <c r="K87" i="1"/>
  <c r="K86" i="1"/>
  <c r="K90" i="1"/>
  <c r="N90" i="1" s="1"/>
  <c r="K71" i="1"/>
  <c r="K77" i="1"/>
  <c r="K83" i="1"/>
  <c r="K88" i="1"/>
  <c r="K93" i="1"/>
  <c r="K49" i="1"/>
  <c r="L49" i="1"/>
  <c r="K46" i="1"/>
  <c r="L46" i="1" s="1"/>
  <c r="K50" i="1"/>
  <c r="L50" i="1" s="1"/>
  <c r="K55" i="1"/>
  <c r="L55" i="1"/>
  <c r="K60" i="1"/>
  <c r="L58" i="1"/>
  <c r="N47" i="1"/>
  <c r="P47" i="1"/>
  <c r="R47" i="1"/>
  <c r="K57" i="1"/>
  <c r="K62" i="1"/>
  <c r="K67" i="1"/>
  <c r="K53" i="1"/>
  <c r="L53" i="1"/>
  <c r="K48" i="1"/>
  <c r="L48" i="1" s="1"/>
  <c r="K64" i="1"/>
  <c r="K69" i="1"/>
  <c r="K51" i="1"/>
  <c r="K58" i="1"/>
  <c r="K66" i="1"/>
  <c r="L47" i="1"/>
  <c r="M47" i="1" s="1"/>
  <c r="O47" i="1" s="1"/>
  <c r="Q47" i="1" s="1"/>
  <c r="S47" i="1" s="1"/>
  <c r="R22" i="1"/>
  <c r="N22" i="1"/>
  <c r="P22" i="1"/>
  <c r="L22" i="1"/>
  <c r="M22" i="1" s="1"/>
  <c r="O22" i="1" s="1"/>
  <c r="Q22" i="1" s="1"/>
  <c r="S22" i="1" s="1"/>
  <c r="K23" i="1"/>
  <c r="K34" i="1"/>
  <c r="K36" i="1"/>
  <c r="K41" i="1"/>
  <c r="K24" i="1"/>
  <c r="K20" i="1"/>
  <c r="L23" i="1"/>
  <c r="K25" i="1"/>
  <c r="L25" i="1" s="1"/>
  <c r="K21" i="1"/>
  <c r="K27" i="1"/>
  <c r="L27" i="1" s="1"/>
  <c r="K29" i="1"/>
  <c r="K31" i="1"/>
  <c r="K38" i="1"/>
  <c r="K43" i="1"/>
  <c r="K32" i="1"/>
  <c r="K40" i="1"/>
  <c r="K9" i="1"/>
  <c r="K13" i="1"/>
  <c r="K11" i="1"/>
  <c r="K15" i="1"/>
  <c r="K8" i="1"/>
  <c r="K12" i="1"/>
  <c r="L16" i="1"/>
  <c r="M16" i="1" s="1"/>
  <c r="O16" i="1" s="1"/>
  <c r="Q16" i="1" s="1"/>
  <c r="S16" i="1" s="1"/>
  <c r="P16" i="1"/>
  <c r="K10" i="1"/>
  <c r="K14" i="1"/>
  <c r="N16" i="1"/>
  <c r="K17" i="1"/>
  <c r="Q160" i="1" l="1"/>
  <c r="S160" i="1" s="1"/>
  <c r="Q167" i="1"/>
  <c r="S167" i="1" s="1"/>
  <c r="R90" i="1"/>
  <c r="P90" i="1"/>
  <c r="O114" i="1"/>
  <c r="Q114" i="1" s="1"/>
  <c r="S114" i="1" s="1"/>
  <c r="O146" i="1"/>
  <c r="Q146" i="1" s="1"/>
  <c r="S146" i="1" s="1"/>
  <c r="O177" i="1"/>
  <c r="Q177" i="1" s="1"/>
  <c r="S177" i="1" s="1"/>
  <c r="Q171" i="1"/>
  <c r="S171" i="1" s="1"/>
  <c r="V171" i="1" s="1"/>
  <c r="X171" i="1" s="1"/>
  <c r="O220" i="1"/>
  <c r="Q220" i="1" s="1"/>
  <c r="S220" i="1" s="1"/>
  <c r="V220" i="1" s="1"/>
  <c r="X220" i="1" s="1"/>
  <c r="Y220" i="1" s="1"/>
  <c r="L90" i="1"/>
  <c r="M90" i="1" s="1"/>
  <c r="O90" i="1" s="1"/>
  <c r="Q90" i="1" s="1"/>
  <c r="S90" i="1" s="1"/>
  <c r="Q162" i="1"/>
  <c r="S162" i="1" s="1"/>
  <c r="S221" i="1"/>
  <c r="V221" i="1" s="1"/>
  <c r="X221" i="1" s="1"/>
  <c r="Y221" i="1" s="1"/>
  <c r="Q128" i="1"/>
  <c r="S128" i="1" s="1"/>
  <c r="O159" i="1"/>
  <c r="Q159" i="1" s="1"/>
  <c r="S159" i="1" s="1"/>
  <c r="V159" i="1" s="1"/>
  <c r="X159" i="1" s="1"/>
  <c r="O182" i="1"/>
  <c r="Q182" i="1" s="1"/>
  <c r="S182" i="1" s="1"/>
  <c r="O219" i="1"/>
  <c r="Q219" i="1" s="1"/>
  <c r="S219" i="1" s="1"/>
  <c r="V219" i="1" s="1"/>
  <c r="X219" i="1" s="1"/>
  <c r="Y219" i="1" s="1"/>
  <c r="R214" i="1"/>
  <c r="N214" i="1"/>
  <c r="P214" i="1"/>
  <c r="L214" i="1"/>
  <c r="M214" i="1" s="1"/>
  <c r="L216" i="1"/>
  <c r="M216" i="1" s="1"/>
  <c r="R216" i="1"/>
  <c r="N216" i="1"/>
  <c r="P216" i="1"/>
  <c r="R215" i="1"/>
  <c r="N215" i="1"/>
  <c r="L215" i="1"/>
  <c r="M215" i="1" s="1"/>
  <c r="P215" i="1"/>
  <c r="P213" i="1"/>
  <c r="L213" i="1"/>
  <c r="M213" i="1" s="1"/>
  <c r="R213" i="1"/>
  <c r="N213" i="1"/>
  <c r="V182" i="1"/>
  <c r="X182" i="1" s="1"/>
  <c r="U182" i="1"/>
  <c r="Y182" i="1" s="1"/>
  <c r="U167" i="1"/>
  <c r="V167" i="1"/>
  <c r="X167" i="1" s="1"/>
  <c r="V177" i="1"/>
  <c r="X177" i="1" s="1"/>
  <c r="U177" i="1"/>
  <c r="Y177" i="1" s="1"/>
  <c r="P170" i="1"/>
  <c r="L170" i="1"/>
  <c r="M170" i="1" s="1"/>
  <c r="R170" i="1"/>
  <c r="N170" i="1"/>
  <c r="R178" i="1"/>
  <c r="N178" i="1"/>
  <c r="P178" i="1"/>
  <c r="L178" i="1"/>
  <c r="M178" i="1" s="1"/>
  <c r="O178" i="1" s="1"/>
  <c r="Q178" i="1" s="1"/>
  <c r="S178" i="1" s="1"/>
  <c r="O179" i="1"/>
  <c r="Q179" i="1" s="1"/>
  <c r="S179" i="1" s="1"/>
  <c r="R172" i="1"/>
  <c r="N172" i="1"/>
  <c r="P172" i="1"/>
  <c r="L172" i="1"/>
  <c r="M172" i="1" s="1"/>
  <c r="R168" i="1"/>
  <c r="N168" i="1"/>
  <c r="L168" i="1"/>
  <c r="M168" i="1" s="1"/>
  <c r="O168" i="1" s="1"/>
  <c r="Q168" i="1" s="1"/>
  <c r="S168" i="1" s="1"/>
  <c r="P168" i="1"/>
  <c r="P174" i="1"/>
  <c r="L174" i="1"/>
  <c r="M174" i="1" s="1"/>
  <c r="R174" i="1"/>
  <c r="N174" i="1"/>
  <c r="P165" i="1"/>
  <c r="L165" i="1"/>
  <c r="M165" i="1" s="1"/>
  <c r="R165" i="1"/>
  <c r="N165" i="1"/>
  <c r="R181" i="1"/>
  <c r="N181" i="1"/>
  <c r="P181" i="1"/>
  <c r="L181" i="1"/>
  <c r="M181" i="1" s="1"/>
  <c r="O181" i="1" s="1"/>
  <c r="Q181" i="1" s="1"/>
  <c r="S181" i="1" s="1"/>
  <c r="P173" i="1"/>
  <c r="L173" i="1"/>
  <c r="M173" i="1" s="1"/>
  <c r="R173" i="1"/>
  <c r="N173" i="1"/>
  <c r="U171" i="1"/>
  <c r="U175" i="1"/>
  <c r="Y175" i="1" s="1"/>
  <c r="V175" i="1"/>
  <c r="P169" i="1"/>
  <c r="L169" i="1"/>
  <c r="R169" i="1"/>
  <c r="N169" i="1"/>
  <c r="M169" i="1"/>
  <c r="O169" i="1" s="1"/>
  <c r="Q169" i="1" s="1"/>
  <c r="S169" i="1" s="1"/>
  <c r="R183" i="1"/>
  <c r="N183" i="1"/>
  <c r="P183" i="1"/>
  <c r="L183" i="1"/>
  <c r="M183" i="1" s="1"/>
  <c r="O183" i="1" s="1"/>
  <c r="Q183" i="1" s="1"/>
  <c r="S183" i="1" s="1"/>
  <c r="V144" i="1"/>
  <c r="X144" i="1" s="1"/>
  <c r="U144" i="1"/>
  <c r="Y144" i="1" s="1"/>
  <c r="V146" i="1"/>
  <c r="X146" i="1" s="1"/>
  <c r="U146" i="1"/>
  <c r="Y146" i="1" s="1"/>
  <c r="O149" i="1"/>
  <c r="Q149" i="1" s="1"/>
  <c r="S149" i="1" s="1"/>
  <c r="M154" i="1"/>
  <c r="N154" i="1"/>
  <c r="P154" i="1"/>
  <c r="L154" i="1"/>
  <c r="R154" i="1"/>
  <c r="R148" i="1"/>
  <c r="P148" i="1"/>
  <c r="L148" i="1"/>
  <c r="M148" i="1" s="1"/>
  <c r="N148" i="1"/>
  <c r="N158" i="1"/>
  <c r="P158" i="1"/>
  <c r="L158" i="1"/>
  <c r="M158" i="1" s="1"/>
  <c r="R158" i="1"/>
  <c r="P152" i="1"/>
  <c r="L152" i="1"/>
  <c r="M152" i="1" s="1"/>
  <c r="R152" i="1"/>
  <c r="N152" i="1"/>
  <c r="R143" i="1"/>
  <c r="N143" i="1"/>
  <c r="P143" i="1"/>
  <c r="L143" i="1"/>
  <c r="M143" i="1" s="1"/>
  <c r="P151" i="1"/>
  <c r="L151" i="1"/>
  <c r="M151" i="1" s="1"/>
  <c r="O151" i="1" s="1"/>
  <c r="R151" i="1"/>
  <c r="N151" i="1"/>
  <c r="P150" i="1"/>
  <c r="R150" i="1"/>
  <c r="N150" i="1"/>
  <c r="L150" i="1"/>
  <c r="M150" i="1"/>
  <c r="P157" i="1"/>
  <c r="L157" i="1"/>
  <c r="M157" i="1" s="1"/>
  <c r="R157" i="1"/>
  <c r="N157" i="1"/>
  <c r="O155" i="1"/>
  <c r="Q155" i="1" s="1"/>
  <c r="S155" i="1" s="1"/>
  <c r="L156" i="1"/>
  <c r="M156" i="1" s="1"/>
  <c r="R156" i="1"/>
  <c r="N156" i="1"/>
  <c r="P156" i="1"/>
  <c r="P147" i="1"/>
  <c r="R147" i="1"/>
  <c r="N147" i="1"/>
  <c r="L147" i="1"/>
  <c r="M147" i="1" s="1"/>
  <c r="O147" i="1" s="1"/>
  <c r="Q147" i="1" s="1"/>
  <c r="S147" i="1" s="1"/>
  <c r="U147" i="1" s="1"/>
  <c r="Y147" i="1" s="1"/>
  <c r="V128" i="1"/>
  <c r="X128" i="1" s="1"/>
  <c r="U128" i="1"/>
  <c r="M133" i="1"/>
  <c r="P133" i="1"/>
  <c r="L133" i="1"/>
  <c r="R133" i="1"/>
  <c r="N133" i="1"/>
  <c r="Q134" i="1"/>
  <c r="S134" i="1" s="1"/>
  <c r="P126" i="1"/>
  <c r="L126" i="1"/>
  <c r="M126" i="1" s="1"/>
  <c r="N126" i="1"/>
  <c r="R126" i="1"/>
  <c r="R130" i="1"/>
  <c r="N130" i="1"/>
  <c r="L130" i="1"/>
  <c r="M130" i="1" s="1"/>
  <c r="O130" i="1" s="1"/>
  <c r="P130" i="1"/>
  <c r="P138" i="1"/>
  <c r="L138" i="1"/>
  <c r="M138" i="1" s="1"/>
  <c r="R138" i="1"/>
  <c r="N138" i="1"/>
  <c r="R123" i="1"/>
  <c r="N123" i="1"/>
  <c r="L123" i="1"/>
  <c r="M123" i="1" s="1"/>
  <c r="P123" i="1"/>
  <c r="P140" i="1"/>
  <c r="L140" i="1"/>
  <c r="M140" i="1" s="1"/>
  <c r="R140" i="1"/>
  <c r="N140" i="1"/>
  <c r="P125" i="1"/>
  <c r="L125" i="1"/>
  <c r="M125" i="1" s="1"/>
  <c r="R125" i="1"/>
  <c r="N125" i="1"/>
  <c r="R141" i="1"/>
  <c r="N141" i="1"/>
  <c r="P141" i="1"/>
  <c r="L141" i="1"/>
  <c r="M141" i="1" s="1"/>
  <c r="R136" i="1"/>
  <c r="N136" i="1"/>
  <c r="L136" i="1"/>
  <c r="M136" i="1" s="1"/>
  <c r="P136" i="1"/>
  <c r="P132" i="1"/>
  <c r="L132" i="1"/>
  <c r="M132" i="1" s="1"/>
  <c r="R132" i="1"/>
  <c r="N132" i="1"/>
  <c r="V114" i="1"/>
  <c r="X114" i="1" s="1"/>
  <c r="U114" i="1"/>
  <c r="O119" i="1"/>
  <c r="Q119" i="1" s="1"/>
  <c r="S119" i="1" s="1"/>
  <c r="P113" i="1"/>
  <c r="L113" i="1"/>
  <c r="M113" i="1" s="1"/>
  <c r="R113" i="1"/>
  <c r="N113" i="1"/>
  <c r="P116" i="1"/>
  <c r="L116" i="1"/>
  <c r="M116" i="1" s="1"/>
  <c r="O116" i="1" s="1"/>
  <c r="R116" i="1"/>
  <c r="N116" i="1"/>
  <c r="R115" i="1"/>
  <c r="N115" i="1"/>
  <c r="M115" i="1"/>
  <c r="O115" i="1" s="1"/>
  <c r="Q115" i="1" s="1"/>
  <c r="S115" i="1" s="1"/>
  <c r="P115" i="1"/>
  <c r="L115" i="1"/>
  <c r="R120" i="1"/>
  <c r="N120" i="1"/>
  <c r="P120" i="1"/>
  <c r="L120" i="1"/>
  <c r="M120" i="1" s="1"/>
  <c r="P118" i="1"/>
  <c r="L118" i="1"/>
  <c r="M118" i="1" s="1"/>
  <c r="R118" i="1"/>
  <c r="N118" i="1"/>
  <c r="O110" i="1"/>
  <c r="Q110" i="1" s="1"/>
  <c r="S110" i="1" s="1"/>
  <c r="P112" i="1"/>
  <c r="L112" i="1"/>
  <c r="M112" i="1" s="1"/>
  <c r="O112" i="1" s="1"/>
  <c r="Q112" i="1" s="1"/>
  <c r="R112" i="1"/>
  <c r="N112" i="1"/>
  <c r="R111" i="1"/>
  <c r="N111" i="1"/>
  <c r="L111" i="1"/>
  <c r="M111" i="1" s="1"/>
  <c r="P111" i="1"/>
  <c r="L95" i="1"/>
  <c r="R95" i="1"/>
  <c r="N95" i="1"/>
  <c r="P95" i="1"/>
  <c r="M95" i="1"/>
  <c r="P96" i="1"/>
  <c r="L96" i="1"/>
  <c r="M96" i="1" s="1"/>
  <c r="R96" i="1"/>
  <c r="N96" i="1"/>
  <c r="P105" i="1"/>
  <c r="L105" i="1"/>
  <c r="M105" i="1" s="1"/>
  <c r="R105" i="1"/>
  <c r="N105" i="1"/>
  <c r="R98" i="1"/>
  <c r="N98" i="1"/>
  <c r="P98" i="1"/>
  <c r="L98" i="1"/>
  <c r="M98" i="1" s="1"/>
  <c r="R108" i="1"/>
  <c r="N108" i="1"/>
  <c r="P108" i="1"/>
  <c r="L108" i="1"/>
  <c r="M108" i="1" s="1"/>
  <c r="O108" i="1" s="1"/>
  <c r="P97" i="1"/>
  <c r="L97" i="1"/>
  <c r="M97" i="1" s="1"/>
  <c r="R97" i="1"/>
  <c r="N97" i="1"/>
  <c r="P102" i="1"/>
  <c r="L102" i="1"/>
  <c r="M102" i="1" s="1"/>
  <c r="R102" i="1"/>
  <c r="N102" i="1"/>
  <c r="R100" i="1"/>
  <c r="N100" i="1"/>
  <c r="L100" i="1"/>
  <c r="M100" i="1"/>
  <c r="O100" i="1" s="1"/>
  <c r="P100" i="1"/>
  <c r="R107" i="1"/>
  <c r="N107" i="1"/>
  <c r="M107" i="1"/>
  <c r="O107" i="1" s="1"/>
  <c r="P107" i="1"/>
  <c r="L107" i="1"/>
  <c r="V82" i="1"/>
  <c r="X82" i="1" s="1"/>
  <c r="U82" i="1"/>
  <c r="Y82" i="1" s="1"/>
  <c r="V76" i="1"/>
  <c r="X76" i="1" s="1"/>
  <c r="U76" i="1"/>
  <c r="R71" i="1"/>
  <c r="N71" i="1"/>
  <c r="L71" i="1"/>
  <c r="M71" i="1" s="1"/>
  <c r="P71" i="1"/>
  <c r="R87" i="1"/>
  <c r="N87" i="1"/>
  <c r="P87" i="1"/>
  <c r="L87" i="1"/>
  <c r="M87" i="1" s="1"/>
  <c r="R88" i="1"/>
  <c r="N88" i="1"/>
  <c r="P88" i="1"/>
  <c r="L88" i="1"/>
  <c r="M88" i="1" s="1"/>
  <c r="R91" i="1"/>
  <c r="N91" i="1"/>
  <c r="P91" i="1"/>
  <c r="L91" i="1"/>
  <c r="M91" i="1" s="1"/>
  <c r="P85" i="1"/>
  <c r="L85" i="1"/>
  <c r="M85" i="1" s="1"/>
  <c r="R85" i="1"/>
  <c r="N85" i="1"/>
  <c r="R93" i="1"/>
  <c r="N93" i="1"/>
  <c r="P93" i="1"/>
  <c r="L93" i="1"/>
  <c r="M93" i="1" s="1"/>
  <c r="N86" i="1"/>
  <c r="P86" i="1"/>
  <c r="L86" i="1"/>
  <c r="M86" i="1" s="1"/>
  <c r="R86" i="1"/>
  <c r="L81" i="1"/>
  <c r="M81" i="1" s="1"/>
  <c r="O81" i="1" s="1"/>
  <c r="P81" i="1"/>
  <c r="N81" i="1"/>
  <c r="R81" i="1"/>
  <c r="P79" i="1"/>
  <c r="L79" i="1"/>
  <c r="M79" i="1" s="1"/>
  <c r="R79" i="1"/>
  <c r="N79" i="1"/>
  <c r="N83" i="1"/>
  <c r="R83" i="1"/>
  <c r="P83" i="1"/>
  <c r="L83" i="1"/>
  <c r="M83" i="1" s="1"/>
  <c r="P74" i="1"/>
  <c r="L74" i="1"/>
  <c r="M74" i="1" s="1"/>
  <c r="O74" i="1" s="1"/>
  <c r="N74" i="1"/>
  <c r="R74" i="1"/>
  <c r="M89" i="1"/>
  <c r="O89" i="1" s="1"/>
  <c r="Q89" i="1" s="1"/>
  <c r="S89" i="1" s="1"/>
  <c r="P73" i="1"/>
  <c r="L73" i="1"/>
  <c r="M73" i="1" s="1"/>
  <c r="R73" i="1"/>
  <c r="N73" i="1"/>
  <c r="R77" i="1"/>
  <c r="N77" i="1"/>
  <c r="P77" i="1"/>
  <c r="L77" i="1"/>
  <c r="M77" i="1" s="1"/>
  <c r="R70" i="1"/>
  <c r="N70" i="1"/>
  <c r="P70" i="1"/>
  <c r="L70" i="1"/>
  <c r="M70" i="1" s="1"/>
  <c r="V47" i="1"/>
  <c r="X47" i="1" s="1"/>
  <c r="U47" i="1"/>
  <c r="P66" i="1"/>
  <c r="L66" i="1"/>
  <c r="M66" i="1" s="1"/>
  <c r="R66" i="1"/>
  <c r="N66" i="1"/>
  <c r="M51" i="1"/>
  <c r="O51" i="1" s="1"/>
  <c r="R51" i="1"/>
  <c r="P51" i="1"/>
  <c r="N51" i="1"/>
  <c r="P64" i="1"/>
  <c r="L64" i="1"/>
  <c r="M64" i="1"/>
  <c r="R64" i="1"/>
  <c r="N64" i="1"/>
  <c r="P55" i="1"/>
  <c r="R55" i="1"/>
  <c r="N55" i="1"/>
  <c r="M55" i="1"/>
  <c r="M58" i="1"/>
  <c r="R58" i="1"/>
  <c r="N58" i="1"/>
  <c r="P58" i="1"/>
  <c r="R69" i="1"/>
  <c r="N69" i="1"/>
  <c r="P69" i="1"/>
  <c r="L69" i="1"/>
  <c r="M69" i="1" s="1"/>
  <c r="L51" i="1"/>
  <c r="R60" i="1"/>
  <c r="N60" i="1"/>
  <c r="P60" i="1"/>
  <c r="L60" i="1"/>
  <c r="M60" i="1" s="1"/>
  <c r="P46" i="1"/>
  <c r="N46" i="1"/>
  <c r="R46" i="1"/>
  <c r="M46" i="1"/>
  <c r="O46" i="1" s="1"/>
  <c r="R49" i="1"/>
  <c r="N49" i="1"/>
  <c r="M49" i="1"/>
  <c r="O49" i="1" s="1"/>
  <c r="P49" i="1"/>
  <c r="R67" i="1"/>
  <c r="N67" i="1"/>
  <c r="P67" i="1"/>
  <c r="L67" i="1"/>
  <c r="M67" i="1" s="1"/>
  <c r="P57" i="1"/>
  <c r="R57" i="1"/>
  <c r="N57" i="1"/>
  <c r="R48" i="1"/>
  <c r="N48" i="1"/>
  <c r="M48" i="1"/>
  <c r="P48" i="1"/>
  <c r="R53" i="1"/>
  <c r="N53" i="1"/>
  <c r="M53" i="1"/>
  <c r="P53" i="1"/>
  <c r="P62" i="1"/>
  <c r="R62" i="1"/>
  <c r="N62" i="1"/>
  <c r="L62" i="1"/>
  <c r="M62" i="1" s="1"/>
  <c r="L57" i="1"/>
  <c r="M57" i="1" s="1"/>
  <c r="O57" i="1" s="1"/>
  <c r="Q57" i="1" s="1"/>
  <c r="S57" i="1" s="1"/>
  <c r="P50" i="1"/>
  <c r="M50" i="1"/>
  <c r="R50" i="1"/>
  <c r="N50" i="1"/>
  <c r="V22" i="1"/>
  <c r="X22" i="1" s="1"/>
  <c r="U22" i="1"/>
  <c r="L43" i="1"/>
  <c r="M43" i="1" s="1"/>
  <c r="R43" i="1"/>
  <c r="N43" i="1"/>
  <c r="P43" i="1"/>
  <c r="P31" i="1"/>
  <c r="R31" i="1"/>
  <c r="N31" i="1"/>
  <c r="P21" i="1"/>
  <c r="R21" i="1"/>
  <c r="N21" i="1"/>
  <c r="P24" i="1"/>
  <c r="R24" i="1"/>
  <c r="N24" i="1"/>
  <c r="R41" i="1"/>
  <c r="N41" i="1"/>
  <c r="P41" i="1"/>
  <c r="L41" i="1"/>
  <c r="M41" i="1" s="1"/>
  <c r="O41" i="1" s="1"/>
  <c r="Q41" i="1" s="1"/>
  <c r="P40" i="1"/>
  <c r="L40" i="1"/>
  <c r="M40" i="1" s="1"/>
  <c r="R40" i="1"/>
  <c r="N40" i="1"/>
  <c r="P20" i="1"/>
  <c r="R20" i="1"/>
  <c r="N20" i="1"/>
  <c r="M23" i="1"/>
  <c r="R23" i="1"/>
  <c r="N23" i="1"/>
  <c r="P23" i="1"/>
  <c r="P38" i="1"/>
  <c r="L38" i="1"/>
  <c r="M38" i="1" s="1"/>
  <c r="R38" i="1"/>
  <c r="N38" i="1"/>
  <c r="L31" i="1"/>
  <c r="M31" i="1" s="1"/>
  <c r="O31" i="1" s="1"/>
  <c r="M25" i="1"/>
  <c r="P25" i="1"/>
  <c r="N25" i="1"/>
  <c r="R25" i="1"/>
  <c r="L24" i="1"/>
  <c r="M24" i="1" s="1"/>
  <c r="P36" i="1"/>
  <c r="R36" i="1"/>
  <c r="N36" i="1"/>
  <c r="L36" i="1"/>
  <c r="M36" i="1" s="1"/>
  <c r="O36" i="1" s="1"/>
  <c r="Q36" i="1" s="1"/>
  <c r="R27" i="1"/>
  <c r="N27" i="1"/>
  <c r="P27" i="1"/>
  <c r="M27" i="1"/>
  <c r="N32" i="1"/>
  <c r="P32" i="1"/>
  <c r="R32" i="1"/>
  <c r="R29" i="1"/>
  <c r="N29" i="1"/>
  <c r="P29" i="1"/>
  <c r="L29" i="1"/>
  <c r="M29" i="1" s="1"/>
  <c r="L21" i="1"/>
  <c r="M21" i="1" s="1"/>
  <c r="O21" i="1" s="1"/>
  <c r="Q21" i="1" s="1"/>
  <c r="S21" i="1" s="1"/>
  <c r="L20" i="1"/>
  <c r="M20" i="1" s="1"/>
  <c r="L32" i="1"/>
  <c r="M32" i="1" s="1"/>
  <c r="R34" i="1"/>
  <c r="N34" i="1"/>
  <c r="P34" i="1"/>
  <c r="L34" i="1"/>
  <c r="M34" i="1" s="1"/>
  <c r="V16" i="1"/>
  <c r="X16" i="1" s="1"/>
  <c r="U16" i="1"/>
  <c r="R14" i="1"/>
  <c r="N14" i="1"/>
  <c r="P14" i="1"/>
  <c r="L14" i="1"/>
  <c r="M14" i="1" s="1"/>
  <c r="O14" i="1" s="1"/>
  <c r="P15" i="1"/>
  <c r="L15" i="1"/>
  <c r="R15" i="1"/>
  <c r="N15" i="1"/>
  <c r="M15" i="1"/>
  <c r="O15" i="1" s="1"/>
  <c r="P10" i="1"/>
  <c r="L10" i="1"/>
  <c r="M10" i="1" s="1"/>
  <c r="R10" i="1"/>
  <c r="N10" i="1"/>
  <c r="R17" i="1"/>
  <c r="N17" i="1"/>
  <c r="M17" i="1"/>
  <c r="O17" i="1" s="1"/>
  <c r="Q17" i="1" s="1"/>
  <c r="S17" i="1" s="1"/>
  <c r="P17" i="1"/>
  <c r="L17" i="1"/>
  <c r="P8" i="1"/>
  <c r="L8" i="1"/>
  <c r="M8" i="1" s="1"/>
  <c r="O8" i="1" s="1"/>
  <c r="N8" i="1"/>
  <c r="R8" i="1"/>
  <c r="R13" i="1"/>
  <c r="N13" i="1"/>
  <c r="P13" i="1"/>
  <c r="L13" i="1"/>
  <c r="M13" i="1" s="1"/>
  <c r="R9" i="1"/>
  <c r="N9" i="1"/>
  <c r="P9" i="1"/>
  <c r="L9" i="1"/>
  <c r="M9" i="1" s="1"/>
  <c r="P12" i="1"/>
  <c r="L12" i="1"/>
  <c r="M12" i="1" s="1"/>
  <c r="O12" i="1" s="1"/>
  <c r="Q12" i="1" s="1"/>
  <c r="S12" i="1" s="1"/>
  <c r="R12" i="1"/>
  <c r="N12" i="1"/>
  <c r="P11" i="1"/>
  <c r="L11" i="1"/>
  <c r="M11" i="1" s="1"/>
  <c r="O11" i="1" s="1"/>
  <c r="Q11" i="1" s="1"/>
  <c r="S11" i="1" s="1"/>
  <c r="R11" i="1"/>
  <c r="N11" i="1"/>
  <c r="Q81" i="1" l="1"/>
  <c r="S81" i="1" s="1"/>
  <c r="Q130" i="1"/>
  <c r="S130" i="1" s="1"/>
  <c r="O83" i="1"/>
  <c r="Q83" i="1" s="1"/>
  <c r="O93" i="1"/>
  <c r="Q93" i="1" s="1"/>
  <c r="S93" i="1" s="1"/>
  <c r="O91" i="1"/>
  <c r="O125" i="1"/>
  <c r="Q125" i="1" s="1"/>
  <c r="S125" i="1" s="1"/>
  <c r="O140" i="1"/>
  <c r="Q140" i="1" s="1"/>
  <c r="S140" i="1" s="1"/>
  <c r="O138" i="1"/>
  <c r="Q138" i="1" s="1"/>
  <c r="S138" i="1" s="1"/>
  <c r="O154" i="1"/>
  <c r="Q154" i="1" s="1"/>
  <c r="S41" i="1"/>
  <c r="O157" i="1"/>
  <c r="O158" i="1"/>
  <c r="Q158" i="1" s="1"/>
  <c r="S158" i="1" s="1"/>
  <c r="Q15" i="1"/>
  <c r="S15" i="1" s="1"/>
  <c r="Q14" i="1"/>
  <c r="S14" i="1" s="1"/>
  <c r="O34" i="1"/>
  <c r="Q34" i="1" s="1"/>
  <c r="S34" i="1" s="1"/>
  <c r="O20" i="1"/>
  <c r="Q20" i="1" s="1"/>
  <c r="S20" i="1" s="1"/>
  <c r="U20" i="1" s="1"/>
  <c r="Q91" i="1"/>
  <c r="S91" i="1" s="1"/>
  <c r="Q116" i="1"/>
  <c r="S116" i="1" s="1"/>
  <c r="Y114" i="1"/>
  <c r="Q151" i="1"/>
  <c r="S151" i="1" s="1"/>
  <c r="U151" i="1" s="1"/>
  <c r="O148" i="1"/>
  <c r="Q148" i="1" s="1"/>
  <c r="S148" i="1" s="1"/>
  <c r="Y171" i="1"/>
  <c r="O9" i="1"/>
  <c r="Q9" i="1" s="1"/>
  <c r="S9" i="1" s="1"/>
  <c r="O24" i="1"/>
  <c r="Q24" i="1" s="1"/>
  <c r="S24" i="1" s="1"/>
  <c r="O25" i="1"/>
  <c r="Q25" i="1" s="1"/>
  <c r="S25" i="1" s="1"/>
  <c r="U25" i="1" s="1"/>
  <c r="Y25" i="1" s="1"/>
  <c r="O50" i="1"/>
  <c r="Q50" i="1" s="1"/>
  <c r="S50" i="1" s="1"/>
  <c r="Q51" i="1"/>
  <c r="S51" i="1" s="1"/>
  <c r="O86" i="1"/>
  <c r="Q86" i="1" s="1"/>
  <c r="S86" i="1" s="1"/>
  <c r="O96" i="1"/>
  <c r="Q96" i="1" s="1"/>
  <c r="S96" i="1" s="1"/>
  <c r="U96" i="1" s="1"/>
  <c r="O120" i="1"/>
  <c r="Q120" i="1" s="1"/>
  <c r="S120" i="1" s="1"/>
  <c r="U159" i="1"/>
  <c r="O170" i="1"/>
  <c r="Q170" i="1" s="1"/>
  <c r="S170" i="1" s="1"/>
  <c r="O214" i="1"/>
  <c r="Q214" i="1" s="1"/>
  <c r="S214" i="1" s="1"/>
  <c r="O13" i="1"/>
  <c r="Q13" i="1" s="1"/>
  <c r="S13" i="1" s="1"/>
  <c r="S36" i="1"/>
  <c r="Q31" i="1"/>
  <c r="S31" i="1" s="1"/>
  <c r="O48" i="1"/>
  <c r="O77" i="1"/>
  <c r="Q77" i="1" s="1"/>
  <c r="S77" i="1" s="1"/>
  <c r="O79" i="1"/>
  <c r="Q79" i="1" s="1"/>
  <c r="S79" i="1" s="1"/>
  <c r="O143" i="1"/>
  <c r="Q143" i="1" s="1"/>
  <c r="S143" i="1" s="1"/>
  <c r="V143" i="1" s="1"/>
  <c r="X143" i="1" s="1"/>
  <c r="O173" i="1"/>
  <c r="Q173" i="1" s="1"/>
  <c r="S173" i="1" s="1"/>
  <c r="O172" i="1"/>
  <c r="Q172" i="1" s="1"/>
  <c r="S172" i="1" s="1"/>
  <c r="O213" i="1"/>
  <c r="Q213" i="1" s="1"/>
  <c r="S213" i="1" s="1"/>
  <c r="U213" i="1" s="1"/>
  <c r="O27" i="1"/>
  <c r="O43" i="1"/>
  <c r="Q43" i="1" s="1"/>
  <c r="S43" i="1" s="1"/>
  <c r="O67" i="1"/>
  <c r="Q67" i="1" s="1"/>
  <c r="S67" i="1" s="1"/>
  <c r="O60" i="1"/>
  <c r="Q60" i="1" s="1"/>
  <c r="S60" i="1" s="1"/>
  <c r="V60" i="1" s="1"/>
  <c r="X60" i="1" s="1"/>
  <c r="O98" i="1"/>
  <c r="Q98" i="1" s="1"/>
  <c r="S98" i="1" s="1"/>
  <c r="O126" i="1"/>
  <c r="Q126" i="1" s="1"/>
  <c r="S126" i="1" s="1"/>
  <c r="O29" i="1"/>
  <c r="Q29" i="1" s="1"/>
  <c r="S29" i="1" s="1"/>
  <c r="O38" i="1"/>
  <c r="Q38" i="1" s="1"/>
  <c r="S38" i="1" s="1"/>
  <c r="U38" i="1" s="1"/>
  <c r="O62" i="1"/>
  <c r="Q62" i="1" s="1"/>
  <c r="S62" i="1" s="1"/>
  <c r="O69" i="1"/>
  <c r="Q69" i="1" s="1"/>
  <c r="S69" i="1" s="1"/>
  <c r="O55" i="1"/>
  <c r="Q55" i="1" s="1"/>
  <c r="S55" i="1" s="1"/>
  <c r="O70" i="1"/>
  <c r="Q70" i="1" s="1"/>
  <c r="S70" i="1" s="1"/>
  <c r="V70" i="1" s="1"/>
  <c r="X70" i="1" s="1"/>
  <c r="O73" i="1"/>
  <c r="Q73" i="1" s="1"/>
  <c r="S73" i="1" s="1"/>
  <c r="O85" i="1"/>
  <c r="Q85" i="1" s="1"/>
  <c r="S85" i="1" s="1"/>
  <c r="Y76" i="1"/>
  <c r="O102" i="1"/>
  <c r="Q102" i="1" s="1"/>
  <c r="S102" i="1" s="1"/>
  <c r="V102" i="1" s="1"/>
  <c r="X102" i="1" s="1"/>
  <c r="O97" i="1"/>
  <c r="Q97" i="1" s="1"/>
  <c r="S97" i="1" s="1"/>
  <c r="O141" i="1"/>
  <c r="Q141" i="1" s="1"/>
  <c r="S141" i="1" s="1"/>
  <c r="U141" i="1" s="1"/>
  <c r="Y141" i="1" s="1"/>
  <c r="Y159" i="1"/>
  <c r="Q8" i="1"/>
  <c r="S8" i="1" s="1"/>
  <c r="U8" i="1" s="1"/>
  <c r="O32" i="1"/>
  <c r="Q32" i="1" s="1"/>
  <c r="S32" i="1" s="1"/>
  <c r="O53" i="1"/>
  <c r="Q74" i="1"/>
  <c r="S74" i="1" s="1"/>
  <c r="V74" i="1" s="1"/>
  <c r="X74" i="1" s="1"/>
  <c r="S83" i="1"/>
  <c r="V83" i="1" s="1"/>
  <c r="X83" i="1" s="1"/>
  <c r="O87" i="1"/>
  <c r="Q87" i="1" s="1"/>
  <c r="S87" i="1" s="1"/>
  <c r="O71" i="1"/>
  <c r="Q71" i="1" s="1"/>
  <c r="S71" i="1" s="1"/>
  <c r="O136" i="1"/>
  <c r="Q136" i="1" s="1"/>
  <c r="S136" i="1" s="1"/>
  <c r="V136" i="1" s="1"/>
  <c r="X136" i="1" s="1"/>
  <c r="O123" i="1"/>
  <c r="Q123" i="1" s="1"/>
  <c r="S123" i="1" s="1"/>
  <c r="V123" i="1" s="1"/>
  <c r="X123" i="1" s="1"/>
  <c r="Q157" i="1"/>
  <c r="S157" i="1" s="1"/>
  <c r="O216" i="1"/>
  <c r="Q216" i="1" s="1"/>
  <c r="S216" i="1" s="1"/>
  <c r="U216" i="1" s="1"/>
  <c r="V214" i="1"/>
  <c r="X214" i="1" s="1"/>
  <c r="U214" i="1"/>
  <c r="O215" i="1"/>
  <c r="Q215" i="1" s="1"/>
  <c r="S215" i="1" s="1"/>
  <c r="U173" i="1"/>
  <c r="V173" i="1"/>
  <c r="X173" i="1" s="1"/>
  <c r="V170" i="1"/>
  <c r="X170" i="1" s="1"/>
  <c r="U170" i="1"/>
  <c r="Y170" i="1" s="1"/>
  <c r="V183" i="1"/>
  <c r="X183" i="1" s="1"/>
  <c r="U183" i="1"/>
  <c r="V172" i="1"/>
  <c r="X172" i="1" s="1"/>
  <c r="U172" i="1"/>
  <c r="Y172" i="1" s="1"/>
  <c r="V168" i="1"/>
  <c r="X168" i="1" s="1"/>
  <c r="U168" i="1"/>
  <c r="V178" i="1"/>
  <c r="X178" i="1" s="1"/>
  <c r="U178" i="1"/>
  <c r="Y178" i="1" s="1"/>
  <c r="V181" i="1"/>
  <c r="X181" i="1" s="1"/>
  <c r="U181" i="1"/>
  <c r="Y167" i="1"/>
  <c r="U169" i="1"/>
  <c r="V169" i="1"/>
  <c r="X169" i="1" s="1"/>
  <c r="O174" i="1"/>
  <c r="Q174" i="1" s="1"/>
  <c r="S174" i="1" s="1"/>
  <c r="O165" i="1"/>
  <c r="Q165" i="1" s="1"/>
  <c r="S165" i="1" s="1"/>
  <c r="V179" i="1"/>
  <c r="X179" i="1" s="1"/>
  <c r="U179" i="1"/>
  <c r="V148" i="1"/>
  <c r="X148" i="1" s="1"/>
  <c r="U148" i="1"/>
  <c r="Y148" i="1" s="1"/>
  <c r="U157" i="1"/>
  <c r="V157" i="1"/>
  <c r="X157" i="1" s="1"/>
  <c r="V155" i="1"/>
  <c r="X155" i="1" s="1"/>
  <c r="U155" i="1"/>
  <c r="O152" i="1"/>
  <c r="Q152" i="1" s="1"/>
  <c r="S152" i="1" s="1"/>
  <c r="V149" i="1"/>
  <c r="X149" i="1" s="1"/>
  <c r="U149" i="1"/>
  <c r="O150" i="1"/>
  <c r="Q150" i="1" s="1"/>
  <c r="S150" i="1" s="1"/>
  <c r="S154" i="1"/>
  <c r="O156" i="1"/>
  <c r="Q156" i="1" s="1"/>
  <c r="S156" i="1" s="1"/>
  <c r="V126" i="1"/>
  <c r="X126" i="1" s="1"/>
  <c r="U126" i="1"/>
  <c r="Y126" i="1" s="1"/>
  <c r="V134" i="1"/>
  <c r="X134" i="1" s="1"/>
  <c r="U134" i="1"/>
  <c r="O133" i="1"/>
  <c r="Q133" i="1" s="1"/>
  <c r="S133" i="1" s="1"/>
  <c r="Y128" i="1"/>
  <c r="V130" i="1"/>
  <c r="X130" i="1" s="1"/>
  <c r="U130" i="1"/>
  <c r="O132" i="1"/>
  <c r="Q132" i="1" s="1"/>
  <c r="S132" i="1" s="1"/>
  <c r="U116" i="1"/>
  <c r="V116" i="1"/>
  <c r="X116" i="1" s="1"/>
  <c r="V120" i="1"/>
  <c r="X120" i="1" s="1"/>
  <c r="U120" i="1"/>
  <c r="O113" i="1"/>
  <c r="Q113" i="1" s="1"/>
  <c r="S113" i="1" s="1"/>
  <c r="V119" i="1"/>
  <c r="X119" i="1" s="1"/>
  <c r="U119" i="1"/>
  <c r="O118" i="1"/>
  <c r="Q118" i="1" s="1"/>
  <c r="S118" i="1" s="1"/>
  <c r="O111" i="1"/>
  <c r="Q111" i="1" s="1"/>
  <c r="S111" i="1" s="1"/>
  <c r="S112" i="1"/>
  <c r="V115" i="1"/>
  <c r="X115" i="1" s="1"/>
  <c r="U115" i="1"/>
  <c r="Y115" i="1" s="1"/>
  <c r="V110" i="1"/>
  <c r="X110" i="1" s="1"/>
  <c r="U110" i="1"/>
  <c r="Y110" i="1" s="1"/>
  <c r="V97" i="1"/>
  <c r="X97" i="1" s="1"/>
  <c r="U97" i="1"/>
  <c r="V98" i="1"/>
  <c r="X98" i="1" s="1"/>
  <c r="U98" i="1"/>
  <c r="Y98" i="1" s="1"/>
  <c r="Q107" i="1"/>
  <c r="S107" i="1" s="1"/>
  <c r="Q100" i="1"/>
  <c r="S100" i="1" s="1"/>
  <c r="Q108" i="1"/>
  <c r="S108" i="1" s="1"/>
  <c r="O105" i="1"/>
  <c r="Q105" i="1" s="1"/>
  <c r="S105" i="1" s="1"/>
  <c r="O95" i="1"/>
  <c r="Q95" i="1" s="1"/>
  <c r="S95" i="1" s="1"/>
  <c r="U73" i="1"/>
  <c r="V73" i="1"/>
  <c r="X73" i="1" s="1"/>
  <c r="V71" i="1"/>
  <c r="X71" i="1" s="1"/>
  <c r="U71" i="1"/>
  <c r="U85" i="1"/>
  <c r="V85" i="1"/>
  <c r="X85" i="1" s="1"/>
  <c r="U79" i="1"/>
  <c r="V79" i="1"/>
  <c r="X79" i="1" s="1"/>
  <c r="V86" i="1"/>
  <c r="X86" i="1" s="1"/>
  <c r="U86" i="1"/>
  <c r="Y86" i="1" s="1"/>
  <c r="V91" i="1"/>
  <c r="X91" i="1" s="1"/>
  <c r="U91" i="1"/>
  <c r="V77" i="1"/>
  <c r="X77" i="1" s="1"/>
  <c r="U77" i="1"/>
  <c r="U83" i="1"/>
  <c r="V87" i="1"/>
  <c r="X87" i="1" s="1"/>
  <c r="U87" i="1"/>
  <c r="Y87" i="1" s="1"/>
  <c r="V90" i="1"/>
  <c r="X90" i="1" s="1"/>
  <c r="U90" i="1"/>
  <c r="U89" i="1"/>
  <c r="V89" i="1"/>
  <c r="X89" i="1" s="1"/>
  <c r="V81" i="1"/>
  <c r="X81" i="1" s="1"/>
  <c r="U81" i="1"/>
  <c r="O88" i="1"/>
  <c r="Q88" i="1" s="1"/>
  <c r="S88" i="1" s="1"/>
  <c r="U69" i="1"/>
  <c r="V69" i="1"/>
  <c r="X69" i="1" s="1"/>
  <c r="U57" i="1"/>
  <c r="V57" i="1"/>
  <c r="X57" i="1" s="1"/>
  <c r="V67" i="1"/>
  <c r="X67" i="1" s="1"/>
  <c r="U67" i="1"/>
  <c r="U50" i="1"/>
  <c r="V50" i="1"/>
  <c r="X50" i="1" s="1"/>
  <c r="V62" i="1"/>
  <c r="X62" i="1" s="1"/>
  <c r="U62" i="1"/>
  <c r="U55" i="1"/>
  <c r="V55" i="1"/>
  <c r="X55" i="1" s="1"/>
  <c r="V51" i="1"/>
  <c r="X51" i="1" s="1"/>
  <c r="U51" i="1"/>
  <c r="Y51" i="1" s="1"/>
  <c r="Q53" i="1"/>
  <c r="S53" i="1" s="1"/>
  <c r="Q48" i="1"/>
  <c r="S48" i="1" s="1"/>
  <c r="Q46" i="1"/>
  <c r="S46" i="1" s="1"/>
  <c r="Q49" i="1"/>
  <c r="S49" i="1" s="1"/>
  <c r="O64" i="1"/>
  <c r="Q64" i="1" s="1"/>
  <c r="S64" i="1" s="1"/>
  <c r="Y47" i="1"/>
  <c r="O66" i="1"/>
  <c r="Q66" i="1" s="1"/>
  <c r="S66" i="1" s="1"/>
  <c r="O58" i="1"/>
  <c r="Q58" i="1" s="1"/>
  <c r="S58" i="1" s="1"/>
  <c r="V41" i="1"/>
  <c r="X41" i="1" s="1"/>
  <c r="U41" i="1"/>
  <c r="V29" i="1"/>
  <c r="X29" i="1" s="1"/>
  <c r="U29" i="1"/>
  <c r="U24" i="1"/>
  <c r="V24" i="1"/>
  <c r="X24" i="1" s="1"/>
  <c r="U43" i="1"/>
  <c r="V43" i="1"/>
  <c r="X43" i="1" s="1"/>
  <c r="V32" i="1"/>
  <c r="X32" i="1" s="1"/>
  <c r="U32" i="1"/>
  <c r="V36" i="1"/>
  <c r="X36" i="1" s="1"/>
  <c r="U36" i="1"/>
  <c r="V25" i="1"/>
  <c r="X25" i="1" s="1"/>
  <c r="V21" i="1"/>
  <c r="X21" i="1" s="1"/>
  <c r="U21" i="1"/>
  <c r="Y21" i="1" s="1"/>
  <c r="O23" i="1"/>
  <c r="Q23" i="1" s="1"/>
  <c r="S23" i="1" s="1"/>
  <c r="Y22" i="1"/>
  <c r="V34" i="1"/>
  <c r="X34" i="1" s="1"/>
  <c r="U34" i="1"/>
  <c r="Q27" i="1"/>
  <c r="S27" i="1" s="1"/>
  <c r="O40" i="1"/>
  <c r="Q40" i="1" s="1"/>
  <c r="S40" i="1" s="1"/>
  <c r="U11" i="1"/>
  <c r="V11" i="1"/>
  <c r="X11" i="1" s="1"/>
  <c r="V14" i="1"/>
  <c r="X14" i="1" s="1"/>
  <c r="U14" i="1"/>
  <c r="V12" i="1"/>
  <c r="X12" i="1" s="1"/>
  <c r="U12" i="1"/>
  <c r="Y12" i="1" s="1"/>
  <c r="V9" i="1"/>
  <c r="X9" i="1" s="1"/>
  <c r="U9" i="1"/>
  <c r="V13" i="1"/>
  <c r="X13" i="1" s="1"/>
  <c r="U13" i="1"/>
  <c r="Y13" i="1" s="1"/>
  <c r="V17" i="1"/>
  <c r="X17" i="1" s="1"/>
  <c r="U17" i="1"/>
  <c r="U15" i="1"/>
  <c r="V15" i="1"/>
  <c r="X15" i="1" s="1"/>
  <c r="Y16" i="1"/>
  <c r="O10" i="1"/>
  <c r="Q10" i="1" s="1"/>
  <c r="S10" i="1" s="1"/>
  <c r="U140" i="1" l="1"/>
  <c r="V140" i="1"/>
  <c r="X140" i="1" s="1"/>
  <c r="V93" i="1"/>
  <c r="X93" i="1" s="1"/>
  <c r="U93" i="1"/>
  <c r="Y93" i="1" s="1"/>
  <c r="V125" i="1"/>
  <c r="X125" i="1" s="1"/>
  <c r="U125" i="1"/>
  <c r="U138" i="1"/>
  <c r="V138" i="1"/>
  <c r="X138" i="1" s="1"/>
  <c r="Y138" i="1" s="1"/>
  <c r="Y79" i="1"/>
  <c r="Y83" i="1"/>
  <c r="U123" i="1"/>
  <c r="Y123" i="1" s="1"/>
  <c r="V213" i="1"/>
  <c r="X213" i="1" s="1"/>
  <c r="Y29" i="1"/>
  <c r="Y62" i="1"/>
  <c r="Y155" i="1"/>
  <c r="V216" i="1"/>
  <c r="X216" i="1" s="1"/>
  <c r="Y216" i="1" s="1"/>
  <c r="V31" i="1"/>
  <c r="X31" i="1" s="1"/>
  <c r="U31" i="1"/>
  <c r="U74" i="1"/>
  <c r="V96" i="1"/>
  <c r="X96" i="1" s="1"/>
  <c r="Y96" i="1" s="1"/>
  <c r="Y169" i="1"/>
  <c r="V20" i="1"/>
  <c r="X20" i="1" s="1"/>
  <c r="U70" i="1"/>
  <c r="Y70" i="1" s="1"/>
  <c r="U143" i="1"/>
  <c r="Y143" i="1" s="1"/>
  <c r="V151" i="1"/>
  <c r="X151" i="1" s="1"/>
  <c r="Y17" i="1"/>
  <c r="Y9" i="1"/>
  <c r="Y14" i="1"/>
  <c r="Y73" i="1"/>
  <c r="U102" i="1"/>
  <c r="Y130" i="1"/>
  <c r="Y134" i="1"/>
  <c r="Y140" i="1"/>
  <c r="Y181" i="1"/>
  <c r="Y168" i="1"/>
  <c r="Y183" i="1"/>
  <c r="V38" i="1"/>
  <c r="X38" i="1" s="1"/>
  <c r="Y38" i="1" s="1"/>
  <c r="Y74" i="1"/>
  <c r="U60" i="1"/>
  <c r="Y60" i="1" s="1"/>
  <c r="V8" i="1"/>
  <c r="X8" i="1" s="1"/>
  <c r="Y8" i="1" s="1"/>
  <c r="U136" i="1"/>
  <c r="Y136" i="1" s="1"/>
  <c r="Y34" i="1"/>
  <c r="Y36" i="1"/>
  <c r="Y32" i="1"/>
  <c r="Y41" i="1"/>
  <c r="Y67" i="1"/>
  <c r="Y97" i="1"/>
  <c r="Y120" i="1"/>
  <c r="Y214" i="1"/>
  <c r="V215" i="1"/>
  <c r="X215" i="1" s="1"/>
  <c r="U215" i="1"/>
  <c r="Y213" i="1"/>
  <c r="V165" i="1"/>
  <c r="X165" i="1" s="1"/>
  <c r="U165" i="1"/>
  <c r="V174" i="1"/>
  <c r="X174" i="1" s="1"/>
  <c r="U174" i="1"/>
  <c r="Y174" i="1" s="1"/>
  <c r="Y179" i="1"/>
  <c r="Y173" i="1"/>
  <c r="V154" i="1"/>
  <c r="X154" i="1" s="1"/>
  <c r="U154" i="1"/>
  <c r="V158" i="1"/>
  <c r="X158" i="1" s="1"/>
  <c r="U158" i="1"/>
  <c r="V152" i="1"/>
  <c r="X152" i="1" s="1"/>
  <c r="U152" i="1"/>
  <c r="Y152" i="1" s="1"/>
  <c r="Y157" i="1"/>
  <c r="U150" i="1"/>
  <c r="V150" i="1"/>
  <c r="X150" i="1" s="1"/>
  <c r="V156" i="1"/>
  <c r="X156" i="1" s="1"/>
  <c r="U156" i="1"/>
  <c r="Y149" i="1"/>
  <c r="Y151" i="1"/>
  <c r="U132" i="1"/>
  <c r="V132" i="1"/>
  <c r="X132" i="1" s="1"/>
  <c r="V133" i="1"/>
  <c r="X133" i="1" s="1"/>
  <c r="U133" i="1"/>
  <c r="Y125" i="1"/>
  <c r="Y119" i="1"/>
  <c r="U112" i="1"/>
  <c r="V112" i="1"/>
  <c r="X112" i="1" s="1"/>
  <c r="V118" i="1"/>
  <c r="X118" i="1" s="1"/>
  <c r="U118" i="1"/>
  <c r="U111" i="1"/>
  <c r="V111" i="1"/>
  <c r="X111" i="1" s="1"/>
  <c r="V113" i="1"/>
  <c r="X113" i="1" s="1"/>
  <c r="U113" i="1"/>
  <c r="Y116" i="1"/>
  <c r="V107" i="1"/>
  <c r="X107" i="1" s="1"/>
  <c r="U107" i="1"/>
  <c r="V105" i="1"/>
  <c r="X105" i="1" s="1"/>
  <c r="U105" i="1"/>
  <c r="V100" i="1"/>
  <c r="X100" i="1" s="1"/>
  <c r="U100" i="1"/>
  <c r="U95" i="1"/>
  <c r="V95" i="1"/>
  <c r="X95" i="1" s="1"/>
  <c r="V108" i="1"/>
  <c r="X108" i="1" s="1"/>
  <c r="U108" i="1"/>
  <c r="Y102" i="1"/>
  <c r="Y89" i="1"/>
  <c r="Y85" i="1"/>
  <c r="V88" i="1"/>
  <c r="X88" i="1" s="1"/>
  <c r="U88" i="1"/>
  <c r="Y88" i="1" s="1"/>
  <c r="Y81" i="1"/>
  <c r="Y90" i="1"/>
  <c r="Y77" i="1"/>
  <c r="Y91" i="1"/>
  <c r="Y71" i="1"/>
  <c r="U49" i="1"/>
  <c r="V49" i="1"/>
  <c r="X49" i="1" s="1"/>
  <c r="U46" i="1"/>
  <c r="V46" i="1"/>
  <c r="X46" i="1" s="1"/>
  <c r="V58" i="1"/>
  <c r="X58" i="1" s="1"/>
  <c r="U58" i="1"/>
  <c r="Y58" i="1" s="1"/>
  <c r="V66" i="1"/>
  <c r="X66" i="1" s="1"/>
  <c r="U66" i="1"/>
  <c r="Y66" i="1" s="1"/>
  <c r="Y57" i="1"/>
  <c r="V48" i="1"/>
  <c r="X48" i="1" s="1"/>
  <c r="U48" i="1"/>
  <c r="U64" i="1"/>
  <c r="V64" i="1"/>
  <c r="X64" i="1" s="1"/>
  <c r="V53" i="1"/>
  <c r="X53" i="1" s="1"/>
  <c r="U53" i="1"/>
  <c r="Y55" i="1"/>
  <c r="Y50" i="1"/>
  <c r="Y69" i="1"/>
  <c r="V40" i="1"/>
  <c r="X40" i="1" s="1"/>
  <c r="U40" i="1"/>
  <c r="U27" i="1"/>
  <c r="V27" i="1"/>
  <c r="X27" i="1" s="1"/>
  <c r="V23" i="1"/>
  <c r="X23" i="1" s="1"/>
  <c r="U23" i="1"/>
  <c r="Y31" i="1"/>
  <c r="Y43" i="1"/>
  <c r="Y20" i="1"/>
  <c r="Y24" i="1"/>
  <c r="Y15" i="1"/>
  <c r="U10" i="1"/>
  <c r="V10" i="1"/>
  <c r="X10" i="1" s="1"/>
  <c r="Y11" i="1"/>
  <c r="Y133" i="1" l="1"/>
  <c r="Y48" i="1"/>
  <c r="Y95" i="1"/>
  <c r="Y108" i="1"/>
  <c r="Y100" i="1"/>
  <c r="Y107" i="1"/>
  <c r="Y150" i="1"/>
  <c r="Y158" i="1"/>
  <c r="Y165" i="1"/>
  <c r="Y64" i="1"/>
  <c r="Y156" i="1"/>
  <c r="Y53" i="1"/>
  <c r="Y154" i="1"/>
  <c r="Y215" i="1"/>
  <c r="Y132" i="1"/>
  <c r="Y111" i="1"/>
  <c r="Y112" i="1"/>
  <c r="Y113" i="1"/>
  <c r="Y118" i="1"/>
  <c r="Y105" i="1"/>
  <c r="Y46" i="1"/>
  <c r="Y49" i="1"/>
  <c r="Y27" i="1"/>
  <c r="Y23" i="1"/>
  <c r="Y40" i="1"/>
  <c r="Y10" i="1"/>
</calcChain>
</file>

<file path=xl/sharedStrings.xml><?xml version="1.0" encoding="utf-8"?>
<sst xmlns="http://schemas.openxmlformats.org/spreadsheetml/2006/main" count="397" uniqueCount="277">
  <si>
    <t>MUNICIPIO DE : SAN JUANITO DE ESCOBEDO JALISCO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</si>
  <si>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</si>
  <si>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</si>
  <si>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</si>
  <si>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</si>
  <si>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</si>
  <si>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</si>
  <si>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</si>
  <si>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</si>
  <si>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</si>
  <si>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</si>
  <si>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</si>
  <si>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</si>
  <si>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</si>
  <si>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</si>
  <si>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</si>
  <si>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</si>
  <si>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</si>
  <si>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</si>
  <si>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</si>
  <si>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</si>
  <si>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</si>
  <si>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</si>
  <si>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</si>
  <si>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</si>
  <si>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</si>
  <si>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</si>
  <si>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</si>
  <si>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</si>
  <si>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</si>
  <si>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</si>
  <si>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>NOMBRE DE LA PLAZA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</si>
  <si>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</si>
  <si>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</si>
  <si>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</si>
  <si>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</si>
  <si>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</si>
  <si>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</si>
  <si>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</si>
  <si>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</si>
  <si>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</si>
  <si>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</si>
  <si>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</si>
  <si>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</si>
  <si>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</si>
  <si>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</si>
  <si>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</si>
  <si>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</si>
  <si>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</si>
  <si>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</si>
  <si>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</si>
  <si>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</si>
  <si>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</si>
  <si>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</si>
  <si>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</si>
  <si>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</si>
  <si>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</si>
  <si>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</si>
  <si>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</si>
  <si>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</si>
  <si>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</si>
  <si>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</si>
  <si>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</si>
  <si>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</si>
  <si>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</si>
  <si>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</si>
  <si>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</si>
  <si>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</si>
  <si>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</si>
  <si>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</si>
  <si>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</si>
  <si>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</si>
  <si>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</si>
  <si>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</si>
  <si>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</si>
  <si>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</si>
  <si>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</si>
  <si>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</si>
  <si>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</si>
  <si>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</si>
  <si>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</si>
  <si>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</si>
  <si>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</si>
  <si>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</si>
  <si>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</si>
  <si>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</si>
  <si>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</si>
  <si>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</si>
  <si>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</si>
  <si>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</si>
  <si>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</si>
  <si>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</si>
  <si>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</si>
  <si>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</si>
  <si>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</si>
  <si>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</si>
  <si>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</si>
  <si>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</si>
  <si>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</si>
  <si>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</si>
  <si>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</si>
  <si>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</si>
  <si>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</si>
  <si>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</si>
  <si>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</si>
  <si>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</si>
  <si>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</si>
  <si>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</si>
  <si>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</si>
  <si>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</si>
  <si>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</si>
  <si>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</si>
  <si>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</si>
  <si>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</si>
  <si>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</si>
  <si>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</si>
  <si>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</si>
  <si>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</si>
  <si>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</si>
  <si>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</si>
  <si>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</si>
  <si>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</si>
  <si>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</si>
  <si>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</si>
  <si>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</si>
  <si>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</si>
  <si>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</si>
  <si>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</si>
  <si>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</si>
  <si>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</si>
  <si>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</si>
  <si>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</si>
  <si>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</si>
  <si>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</si>
  <si>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</si>
  <si>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</si>
  <si>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</si>
  <si>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</si>
  <si>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</si>
  <si>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</si>
  <si>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</si>
  <si>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</si>
  <si>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</si>
  <si>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</si>
  <si>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</si>
  <si>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</si>
  <si>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</si>
  <si>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</si>
  <si>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</si>
  <si>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</si>
  <si>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</si>
  <si>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</si>
  <si>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</si>
  <si>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</si>
  <si>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</si>
  <si>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</si>
  <si>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</si>
  <si>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</si>
  <si>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</si>
  <si>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</si>
  <si>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</si>
  <si>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</si>
  <si>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</si>
  <si>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</si>
  <si>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</si>
  <si>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</si>
  <si>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</si>
  <si>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</si>
  <si>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</si>
  <si>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</si>
  <si>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</si>
  <si>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</si>
  <si>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</si>
  <si>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</si>
  <si>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</si>
  <si>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</si>
  <si>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</si>
  <si>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</si>
  <si>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</si>
  <si>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</si>
  <si>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</si>
  <si>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 xml:space="preserve">DIR. CATASTRO E IMPUESTO </t>
  </si>
  <si>
    <t>REGALADO SIERRA CARLOS ARMANDO</t>
  </si>
  <si>
    <t>CONTRALOR</t>
  </si>
  <si>
    <t>GOMEZ MEZA ANA NALLELI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</si>
  <si>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</si>
  <si>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</si>
  <si>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</si>
  <si>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</si>
  <si>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</si>
  <si>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</si>
  <si>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</si>
  <si>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</si>
  <si>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</si>
  <si>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</si>
  <si>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</si>
  <si>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</si>
  <si>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</si>
  <si>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</si>
  <si>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</si>
  <si>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</si>
  <si>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</si>
  <si>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</si>
  <si>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</si>
  <si>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</si>
  <si>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</si>
  <si>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</si>
  <si>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</si>
  <si>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</si>
  <si>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</si>
  <si>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</si>
  <si>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</si>
  <si>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</si>
  <si>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</si>
  <si>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</si>
  <si>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</si>
  <si>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</si>
  <si>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</si>
  <si>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</si>
  <si>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</si>
  <si>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</si>
  <si>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</si>
  <si>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</si>
  <si>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</si>
  <si>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</si>
  <si>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</si>
  <si>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</si>
  <si>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</si>
  <si>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</si>
  <si>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</si>
  <si>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</si>
  <si>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</si>
  <si>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</si>
  <si>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</si>
  <si>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</si>
  <si>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</si>
  <si>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</si>
  <si>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</si>
  <si>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</si>
  <si>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</si>
  <si>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</si>
  <si>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</si>
  <si>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</si>
  <si>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</si>
  <si>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</si>
  <si>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</si>
  <si>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</si>
  <si>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</si>
  <si>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</si>
  <si>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</si>
  <si>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</si>
  <si>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</si>
  <si>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</si>
  <si>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</si>
  <si>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</si>
  <si>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</si>
  <si>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</si>
  <si>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</si>
  <si>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</si>
  <si>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</si>
  <si>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</si>
  <si>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</si>
  <si>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</si>
  <si>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</si>
  <si>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</si>
  <si>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</si>
  <si>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</si>
  <si>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</si>
  <si>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</si>
  <si>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</si>
  <si>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</si>
  <si>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</si>
  <si>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</si>
  <si>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</si>
  <si>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</si>
  <si>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SALA DE REGIDORES</t>
  </si>
  <si>
    <t>SUELDOS  DEL 16  AL 31  DE MARZO  DEL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</si>
</sst>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8" fillId="0" borderId="8" xfId="0" applyFont="1" applyBorder="1" applyAlignment="1" applyProtection="1">
      <alignment horizontal="center" wrapText="1"/>
      <protection locked="0"/>
    </xf>
    <xf numFmtId="0" fontId="8" fillId="0" borderId="8" xfId="0" applyFont="1" applyBorder="1" applyAlignment="1" applyProtection="1">
      <alignment horizontal="left" wrapText="1"/>
      <protection locked="0"/>
    </xf>
    <xf numFmtId="2" fontId="8" fillId="0" borderId="8" xfId="0" applyNumberFormat="1" applyFont="1" applyBorder="1" applyAlignment="1" applyProtection="1">
      <alignment horizontal="right" wrapText="1"/>
      <protection hidden="1"/>
    </xf>
    <xf numFmtId="164" fontId="8" fillId="0" borderId="8" xfId="1" applyNumberFormat="1" applyFont="1" applyFill="1" applyBorder="1" applyAlignment="1" applyProtection="1">
      <alignment horizontal="right" wrapText="1"/>
    </xf>
    <xf numFmtId="164" fontId="8" fillId="0" borderId="8" xfId="1" applyNumberFormat="1" applyFont="1" applyBorder="1" applyAlignment="1" applyProtection="1">
      <alignment horizontal="right" wrapText="1"/>
      <protection hidden="1"/>
    </xf>
    <xf numFmtId="1" fontId="8" fillId="0" borderId="0" xfId="1" applyNumberFormat="1" applyFont="1" applyBorder="1" applyAlignment="1" applyProtection="1">
      <alignment horizontal="right" wrapText="1"/>
      <protection hidden="1"/>
    </xf>
    <xf numFmtId="164" fontId="8" fillId="2" borderId="8" xfId="1" applyNumberFormat="1" applyFont="1" applyFill="1" applyBorder="1" applyAlignment="1" applyProtection="1">
      <alignment horizontal="right" wrapText="1"/>
      <protection hidden="1"/>
    </xf>
    <xf numFmtId="10" fontId="8" fillId="2" borderId="8" xfId="2" applyNumberFormat="1" applyFont="1" applyFill="1" applyBorder="1" applyAlignment="1" applyProtection="1">
      <alignment horizontal="right" wrapText="1"/>
      <protection hidden="1"/>
    </xf>
    <xf numFmtId="2" fontId="8" fillId="0" borderId="0" xfId="1" applyNumberFormat="1" applyFont="1" applyFill="1" applyBorder="1" applyAlignment="1" applyProtection="1">
      <alignment horizontal="right" wrapText="1"/>
      <protection hidden="1"/>
    </xf>
    <xf numFmtId="43" fontId="8" fillId="0" borderId="8" xfId="1" applyFont="1" applyBorder="1" applyAlignment="1" applyProtection="1">
      <alignment horizontal="right" wrapText="1"/>
      <protection hidden="1"/>
    </xf>
    <xf numFmtId="165" fontId="8" fillId="0" borderId="8" xfId="1" applyNumberFormat="1" applyFont="1" applyBorder="1" applyAlignment="1" applyProtection="1">
      <alignment horizontal="right" wrapText="1"/>
      <protection hidden="1"/>
    </xf>
    <xf numFmtId="164" fontId="9" fillId="0" borderId="8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5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 applyProtection="1">
      <alignment horizontal="center" wrapText="1"/>
      <protection hidden="1"/>
    </xf>
    <xf numFmtId="164" fontId="8" fillId="0" borderId="8" xfId="1" applyNumberFormat="1" applyFont="1" applyFill="1" applyBorder="1" applyAlignment="1" applyProtection="1">
      <alignment horizontal="right" wrapText="1"/>
      <protection hidden="1"/>
    </xf>
    <xf numFmtId="0" fontId="9" fillId="0" borderId="8" xfId="0" applyFont="1" applyBorder="1" applyAlignment="1" applyProtection="1">
      <alignment horizontal="left" wrapText="1"/>
      <protection locked="0"/>
    </xf>
    <xf numFmtId="164" fontId="8" fillId="0" borderId="8" xfId="1" applyNumberFormat="1" applyFont="1" applyFill="1" applyBorder="1" applyAlignment="1" applyProtection="1">
      <alignment horizontal="right" wrapText="1"/>
      <protection locked="0"/>
    </xf>
    <xf numFmtId="164" fontId="8" fillId="0" borderId="8" xfId="1" applyNumberFormat="1" applyFont="1" applyBorder="1" applyAlignment="1" applyProtection="1">
      <alignment horizontal="right" wrapText="1"/>
      <protection locked="0"/>
    </xf>
    <xf numFmtId="164" fontId="8" fillId="5" borderId="8" xfId="1" applyNumberFormat="1" applyFont="1" applyFill="1" applyBorder="1" applyAlignment="1" applyProtection="1">
      <alignment horizontal="right" wrapText="1"/>
      <protection hidden="1"/>
    </xf>
    <xf numFmtId="0" fontId="12" fillId="0" borderId="8" xfId="0" applyFont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horizontal="center" wrapText="1"/>
      <protection hidden="1"/>
    </xf>
    <xf numFmtId="0" fontId="10" fillId="4" borderId="5" xfId="0" applyFont="1" applyFill="1" applyBorder="1" applyAlignment="1" applyProtection="1">
      <alignment horizontal="center" wrapText="1"/>
      <protection hidden="1"/>
    </xf>
    <xf numFmtId="0" fontId="11" fillId="4" borderId="5" xfId="0" applyFont="1" applyFill="1" applyBorder="1" applyAlignment="1" applyProtection="1">
      <alignment horizontal="center" wrapText="1"/>
      <protection hidden="1"/>
    </xf>
    <xf numFmtId="0" fontId="11" fillId="4" borderId="3" xfId="0" applyFont="1" applyFill="1" applyBorder="1" applyAlignment="1" applyProtection="1">
      <alignment horizontal="center" wrapText="1"/>
      <protection hidden="1"/>
    </xf>
    <xf numFmtId="0" fontId="8" fillId="5" borderId="8" xfId="0" applyFont="1" applyFill="1" applyBorder="1" applyAlignment="1" applyProtection="1">
      <alignment horizontal="left" wrapText="1"/>
      <protection locked="0"/>
    </xf>
    <xf numFmtId="164" fontId="8" fillId="5" borderId="8" xfId="1" applyNumberFormat="1" applyFont="1" applyFill="1" applyBorder="1" applyAlignment="1" applyProtection="1">
      <alignment horizontal="right" wrapText="1"/>
    </xf>
    <xf numFmtId="164" fontId="8" fillId="0" borderId="8" xfId="1" applyNumberFormat="1" applyFont="1" applyBorder="1" applyAlignment="1" applyProtection="1">
      <alignment horizontal="right" wrapText="1"/>
    </xf>
    <xf numFmtId="1" fontId="8" fillId="0" borderId="0" xfId="1" applyNumberFormat="1" applyFont="1" applyBorder="1" applyAlignment="1" applyProtection="1">
      <alignment horizontal="right" wrapText="1"/>
    </xf>
    <xf numFmtId="164" fontId="8" fillId="2" borderId="8" xfId="1" applyNumberFormat="1" applyFont="1" applyFill="1" applyBorder="1" applyAlignment="1" applyProtection="1">
      <alignment horizontal="right" wrapText="1"/>
    </xf>
    <xf numFmtId="10" fontId="8" fillId="2" borderId="8" xfId="2" applyNumberFormat="1" applyFont="1" applyFill="1" applyBorder="1" applyAlignment="1" applyProtection="1">
      <alignment horizontal="right" wrapText="1"/>
    </xf>
    <xf numFmtId="2" fontId="8" fillId="0" borderId="0" xfId="1" applyNumberFormat="1" applyFont="1" applyFill="1" applyBorder="1" applyAlignment="1" applyProtection="1">
      <alignment horizontal="right" wrapText="1"/>
    </xf>
    <xf numFmtId="43" fontId="8" fillId="0" borderId="8" xfId="1" applyFont="1" applyBorder="1" applyAlignment="1" applyProtection="1">
      <alignment horizontal="right" wrapText="1"/>
    </xf>
    <xf numFmtId="165" fontId="8" fillId="0" borderId="8" xfId="1" applyNumberFormat="1" applyFont="1" applyBorder="1" applyAlignment="1" applyProtection="1">
      <alignment horizontal="right" wrapText="1"/>
      <protection locked="0"/>
    </xf>
    <xf numFmtId="164" fontId="9" fillId="0" borderId="8" xfId="1" applyNumberFormat="1" applyFont="1" applyBorder="1" applyAlignment="1" applyProtection="1">
      <alignment horizontal="right" wrapText="1"/>
    </xf>
    <xf numFmtId="0" fontId="5" fillId="0" borderId="6" xfId="0" applyFont="1" applyBorder="1" applyAlignment="1" applyProtection="1">
      <alignment horizontal="center" wrapText="1"/>
      <protection locked="0"/>
    </xf>
    <xf numFmtId="0" fontId="9" fillId="0" borderId="6" xfId="0" applyFont="1" applyFill="1" applyBorder="1" applyAlignment="1" applyProtection="1">
      <alignment horizontal="left" wrapText="1"/>
      <protection locked="0"/>
    </xf>
    <xf numFmtId="0" fontId="6" fillId="0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center" wrapText="1"/>
      <protection hidden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horizontal="center" wrapText="1"/>
      <protection hidden="1"/>
    </xf>
    <xf numFmtId="0" fontId="10" fillId="4" borderId="5" xfId="0" applyFont="1" applyFill="1" applyBorder="1" applyAlignment="1" applyProtection="1">
      <alignment horizontal="center" wrapText="1"/>
    </xf>
    <xf numFmtId="0" fontId="11" fillId="4" borderId="5" xfId="0" applyFont="1" applyFill="1" applyBorder="1" applyAlignment="1" applyProtection="1">
      <alignment horizontal="center" wrapText="1"/>
    </xf>
    <xf numFmtId="0" fontId="11" fillId="4" borderId="3" xfId="0" applyFont="1" applyFill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6" fillId="0" borderId="8" xfId="0" applyFont="1" applyBorder="1" applyAlignment="1" applyProtection="1">
      <alignment horizontal="left" wrapText="1"/>
      <protection locked="0"/>
    </xf>
    <xf numFmtId="2" fontId="8" fillId="0" borderId="8" xfId="0" applyNumberFormat="1" applyFont="1" applyBorder="1" applyAlignment="1" applyProtection="1">
      <alignment horizontal="right" wrapText="1"/>
      <protection locked="0"/>
    </xf>
    <xf numFmtId="0" fontId="12" fillId="0" borderId="8" xfId="0" applyFont="1" applyFill="1" applyBorder="1" applyAlignment="1" applyProtection="1">
      <alignment horizontal="left" wrapText="1"/>
      <protection locked="0"/>
    </xf>
    <xf numFmtId="165" fontId="8" fillId="0" borderId="6" xfId="1" applyNumberFormat="1" applyFont="1" applyFill="1" applyBorder="1" applyAlignment="1" applyProtection="1">
      <alignment horizontal="right" wrapText="1"/>
      <protection locked="0"/>
    </xf>
    <xf numFmtId="0" fontId="12" fillId="5" borderId="8" xfId="0" applyFont="1" applyFill="1" applyBorder="1" applyAlignment="1" applyProtection="1">
      <alignment horizontal="left" wrapText="1"/>
      <protection locked="0"/>
    </xf>
    <xf numFmtId="164" fontId="8" fillId="0" borderId="6" xfId="1" applyNumberFormat="1" applyFont="1" applyFill="1" applyBorder="1" applyAlignment="1" applyProtection="1">
      <alignment horizontal="right" wrapText="1"/>
      <protection hidden="1"/>
    </xf>
    <xf numFmtId="164" fontId="8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164" fontId="8" fillId="2" borderId="6" xfId="1" applyNumberFormat="1" applyFont="1" applyFill="1" applyBorder="1" applyAlignment="1" applyProtection="1">
      <alignment horizontal="right" wrapText="1"/>
    </xf>
    <xf numFmtId="10" fontId="8" fillId="2" borderId="6" xfId="2" applyNumberFormat="1" applyFont="1" applyFill="1" applyBorder="1" applyAlignment="1" applyProtection="1">
      <alignment horizontal="right" wrapText="1"/>
    </xf>
    <xf numFmtId="43" fontId="8" fillId="0" borderId="6" xfId="1" applyFont="1" applyBorder="1" applyAlignment="1" applyProtection="1">
      <alignment horizontal="right" wrapText="1"/>
    </xf>
    <xf numFmtId="165" fontId="8" fillId="0" borderId="6" xfId="1" applyNumberFormat="1" applyFont="1" applyBorder="1" applyAlignment="1" applyProtection="1">
      <alignment horizontal="right" wrapText="1"/>
      <protection locked="0"/>
    </xf>
    <xf numFmtId="164" fontId="9" fillId="0" borderId="6" xfId="1" applyNumberFormat="1" applyFont="1" applyBorder="1" applyAlignment="1" applyProtection="1">
      <alignment horizontal="right" wrapText="1"/>
    </xf>
    <xf numFmtId="2" fontId="8" fillId="0" borderId="9" xfId="0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Fill="1" applyBorder="1" applyAlignment="1" applyProtection="1">
      <alignment horizontal="right" wrapText="1"/>
    </xf>
    <xf numFmtId="164" fontId="13" fillId="0" borderId="11" xfId="1" applyNumberFormat="1" applyFont="1" applyBorder="1" applyAlignment="1" applyProtection="1">
      <alignment horizontal="right" wrapText="1"/>
      <protection locked="0"/>
    </xf>
    <xf numFmtId="164" fontId="8" fillId="0" borderId="11" xfId="1" applyNumberFormat="1" applyFont="1" applyBorder="1" applyAlignment="1" applyProtection="1">
      <alignment horizontal="right" wrapText="1"/>
    </xf>
    <xf numFmtId="1" fontId="13" fillId="0" borderId="12" xfId="1" applyNumberFormat="1" applyFont="1" applyBorder="1" applyAlignment="1" applyProtection="1">
      <alignment horizontal="right" wrapText="1"/>
    </xf>
    <xf numFmtId="164" fontId="13" fillId="2" borderId="11" xfId="1" applyNumberFormat="1" applyFont="1" applyFill="1" applyBorder="1" applyAlignment="1" applyProtection="1">
      <alignment horizontal="right" wrapText="1"/>
    </xf>
    <xf numFmtId="10" fontId="13" fillId="2" borderId="11" xfId="2" applyNumberFormat="1" applyFont="1" applyFill="1" applyBorder="1" applyAlignment="1" applyProtection="1">
      <alignment horizontal="right" wrapText="1"/>
    </xf>
    <xf numFmtId="2" fontId="13" fillId="0" borderId="12" xfId="1" applyNumberFormat="1" applyFont="1" applyFill="1" applyBorder="1" applyAlignment="1" applyProtection="1">
      <alignment horizontal="right" wrapText="1"/>
    </xf>
    <xf numFmtId="164" fontId="13" fillId="0" borderId="11" xfId="1" applyNumberFormat="1" applyFont="1" applyBorder="1" applyAlignment="1" applyProtection="1">
      <alignment horizontal="right" wrapText="1"/>
    </xf>
    <xf numFmtId="43" fontId="13" fillId="0" borderId="11" xfId="1" applyFont="1" applyBorder="1" applyAlignment="1" applyProtection="1">
      <alignment horizontal="right" wrapText="1"/>
    </xf>
    <xf numFmtId="165" fontId="13" fillId="0" borderId="11" xfId="1" applyNumberFormat="1" applyFont="1" applyBorder="1" applyAlignment="1" applyProtection="1">
      <alignment horizontal="right" wrapText="1"/>
      <protection locked="0"/>
    </xf>
    <xf numFmtId="164" fontId="9" fillId="0" borderId="13" xfId="1" applyNumberFormat="1" applyFont="1" applyBorder="1" applyAlignment="1" applyProtection="1">
      <alignment horizontal="right" wrapText="1"/>
    </xf>
    <xf numFmtId="0" fontId="12" fillId="0" borderId="6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center" wrapText="1"/>
      <protection locked="0"/>
    </xf>
    <xf numFmtId="2" fontId="8" fillId="0" borderId="6" xfId="0" applyNumberFormat="1" applyFont="1" applyBorder="1" applyAlignment="1" applyProtection="1">
      <alignment horizontal="right" wrapText="1"/>
      <protection hidden="1"/>
    </xf>
    <xf numFmtId="164" fontId="8" fillId="0" borderId="6" xfId="1" applyNumberFormat="1" applyFont="1" applyFill="1" applyBorder="1" applyAlignment="1" applyProtection="1">
      <alignment horizontal="right" wrapText="1"/>
    </xf>
    <xf numFmtId="164" fontId="13" fillId="0" borderId="6" xfId="1" applyNumberFormat="1" applyFont="1" applyBorder="1" applyAlignment="1" applyProtection="1">
      <alignment horizontal="right" wrapText="1"/>
      <protection locked="0"/>
    </xf>
    <xf numFmtId="1" fontId="13" fillId="0" borderId="0" xfId="1" applyNumberFormat="1" applyFont="1" applyBorder="1" applyAlignment="1" applyProtection="1">
      <alignment horizontal="right" wrapText="1"/>
    </xf>
    <xf numFmtId="164" fontId="13" fillId="2" borderId="6" xfId="1" applyNumberFormat="1" applyFont="1" applyFill="1" applyBorder="1" applyAlignment="1" applyProtection="1">
      <alignment horizontal="right" wrapText="1"/>
    </xf>
    <xf numFmtId="10" fontId="13" fillId="2" borderId="6" xfId="2" applyNumberFormat="1" applyFont="1" applyFill="1" applyBorder="1" applyAlignment="1" applyProtection="1">
      <alignment horizontal="right" wrapText="1"/>
    </xf>
    <xf numFmtId="2" fontId="13" fillId="0" borderId="0" xfId="1" applyNumberFormat="1" applyFont="1" applyFill="1" applyBorder="1" applyAlignment="1" applyProtection="1">
      <alignment horizontal="right" wrapText="1"/>
    </xf>
    <xf numFmtId="164" fontId="13" fillId="0" borderId="6" xfId="1" applyNumberFormat="1" applyFont="1" applyBorder="1" applyAlignment="1" applyProtection="1">
      <alignment horizontal="right" wrapText="1"/>
    </xf>
    <xf numFmtId="43" fontId="13" fillId="0" borderId="6" xfId="1" applyFont="1" applyBorder="1" applyAlignment="1" applyProtection="1">
      <alignment horizontal="right" wrapText="1"/>
    </xf>
    <xf numFmtId="165" fontId="13" fillId="0" borderId="6" xfId="1" applyNumberFormat="1" applyFont="1" applyBorder="1" applyAlignment="1" applyProtection="1">
      <alignment horizontal="righ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2" fontId="8" fillId="0" borderId="0" xfId="0" applyNumberFormat="1" applyFont="1" applyBorder="1" applyAlignment="1" applyProtection="1">
      <alignment horizontal="right" wrapText="1"/>
      <protection hidden="1"/>
    </xf>
    <xf numFmtId="164" fontId="8" fillId="0" borderId="0" xfId="1" applyNumberFormat="1" applyFont="1" applyFill="1" applyBorder="1" applyAlignment="1" applyProtection="1">
      <alignment horizontal="right" wrapText="1"/>
    </xf>
    <xf numFmtId="164" fontId="13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3" fillId="2" borderId="0" xfId="1" applyNumberFormat="1" applyFont="1" applyFill="1" applyBorder="1" applyAlignment="1" applyProtection="1">
      <alignment horizontal="right" wrapText="1"/>
    </xf>
    <xf numFmtId="10" fontId="13" fillId="2" borderId="0" xfId="2" applyNumberFormat="1" applyFont="1" applyFill="1" applyBorder="1" applyAlignment="1" applyProtection="1">
      <alignment horizontal="right" wrapText="1"/>
    </xf>
    <xf numFmtId="164" fontId="13" fillId="0" borderId="0" xfId="1" applyNumberFormat="1" applyFont="1" applyBorder="1" applyAlignment="1" applyProtection="1">
      <alignment horizontal="right" wrapText="1"/>
    </xf>
    <xf numFmtId="43" fontId="13" fillId="0" borderId="0" xfId="1" applyFont="1" applyBorder="1" applyAlignment="1" applyProtection="1">
      <alignment horizontal="right" wrapText="1"/>
    </xf>
    <xf numFmtId="165" fontId="13" fillId="0" borderId="0" xfId="1" applyNumberFormat="1" applyFont="1" applyBorder="1" applyAlignment="1" applyProtection="1">
      <alignment horizontal="right" wrapText="1"/>
      <protection locked="0"/>
    </xf>
    <xf numFmtId="164" fontId="9" fillId="0" borderId="0" xfId="1" applyNumberFormat="1" applyFont="1" applyBorder="1" applyAlignment="1" applyProtection="1">
      <alignment horizontal="right" wrapText="1"/>
    </xf>
    <xf numFmtId="164" fontId="13" fillId="0" borderId="8" xfId="1" applyNumberFormat="1" applyFont="1" applyBorder="1" applyAlignment="1" applyProtection="1">
      <alignment horizontal="right" wrapText="1"/>
      <protection locked="0"/>
    </xf>
    <xf numFmtId="164" fontId="13" fillId="0" borderId="8" xfId="1" applyNumberFormat="1" applyFont="1" applyBorder="1" applyAlignment="1" applyProtection="1">
      <alignment horizontal="right" wrapText="1"/>
    </xf>
    <xf numFmtId="164" fontId="13" fillId="2" borderId="8" xfId="1" applyNumberFormat="1" applyFont="1" applyFill="1" applyBorder="1" applyAlignment="1" applyProtection="1">
      <alignment horizontal="right" wrapText="1"/>
    </xf>
    <xf numFmtId="10" fontId="13" fillId="2" borderId="8" xfId="2" applyNumberFormat="1" applyFont="1" applyFill="1" applyBorder="1" applyAlignment="1" applyProtection="1">
      <alignment horizontal="right" wrapText="1"/>
    </xf>
    <xf numFmtId="43" fontId="13" fillId="0" borderId="8" xfId="1" applyFont="1" applyBorder="1" applyAlignment="1" applyProtection="1">
      <alignment horizontal="right" wrapText="1"/>
    </xf>
    <xf numFmtId="165" fontId="13" fillId="0" borderId="8" xfId="1" applyNumberFormat="1" applyFont="1" applyBorder="1" applyAlignment="1" applyProtection="1">
      <alignment horizontal="right" wrapText="1"/>
      <protection locked="0"/>
    </xf>
    <xf numFmtId="164" fontId="14" fillId="0" borderId="8" xfId="1" applyNumberFormat="1" applyFont="1" applyBorder="1" applyAlignment="1" applyProtection="1">
      <alignment horizontal="right" wrapText="1"/>
    </xf>
    <xf numFmtId="0" fontId="8" fillId="0" borderId="8" xfId="0" applyFont="1" applyFill="1" applyBorder="1" applyAlignment="1" applyProtection="1">
      <alignment horizontal="left" wrapText="1"/>
      <protection locked="0"/>
    </xf>
    <xf numFmtId="0" fontId="8" fillId="0" borderId="11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hidden="1"/>
    </xf>
    <xf numFmtId="0" fontId="4" fillId="0" borderId="1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0" fillId="4" borderId="15" xfId="0" applyFont="1" applyFill="1" applyBorder="1" applyAlignment="1" applyProtection="1">
      <alignment wrapText="1"/>
      <protection hidden="1"/>
    </xf>
    <xf numFmtId="0" fontId="10" fillId="4" borderId="0" xfId="0" applyFont="1" applyFill="1" applyBorder="1" applyAlignment="1" applyProtection="1">
      <alignment wrapText="1"/>
      <protection hidden="1"/>
    </xf>
    <xf numFmtId="0" fontId="10" fillId="4" borderId="16" xfId="0" applyFont="1" applyFill="1" applyBorder="1" applyAlignment="1" applyProtection="1">
      <alignment wrapText="1"/>
      <protection hidden="1"/>
    </xf>
    <xf numFmtId="0" fontId="6" fillId="3" borderId="5" xfId="0" applyFont="1" applyFill="1" applyBorder="1" applyAlignment="1" applyProtection="1"/>
    <xf numFmtId="0" fontId="10" fillId="3" borderId="5" xfId="0" applyFont="1" applyFill="1" applyBorder="1" applyAlignment="1" applyProtection="1"/>
    <xf numFmtId="0" fontId="6" fillId="3" borderId="5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2DA%20QNA%20DE%20MARZ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2"/>
  <sheetViews>
    <sheetView tabSelected="1" topLeftCell="A27" workbookViewId="0">
      <selection activeCell="C186" sqref="C186"/>
    </sheetView>
  </sheetViews>
  <sheetFormatPr baseColWidth="10" defaultRowHeight="15" x14ac:dyDescent="0.25"/>
  <cols>
    <col min="1" max="1" width="6.42578125" style="135" customWidth="1"/>
    <col min="2" max="2" width="37.5703125" customWidth="1"/>
    <col min="3" max="3" width="22.140625" customWidth="1"/>
    <col min="5" max="5" width="0" hidden="1" customWidth="1"/>
    <col min="9" max="20" width="0" hidden="1" customWidth="1"/>
  </cols>
  <sheetData>
    <row r="1" spans="1:25" ht="18" x14ac:dyDescent="0.2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</row>
    <row r="2" spans="1:25" ht="15.75" x14ac:dyDescent="0.25">
      <c r="A2" s="143" t="s">
        <v>276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</row>
    <row r="3" spans="1:25" ht="15.75" x14ac:dyDescent="0.2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</row>
    <row r="4" spans="1:25" x14ac:dyDescent="0.25">
      <c r="A4" s="118"/>
      <c r="B4" s="1"/>
      <c r="C4" s="1"/>
      <c r="D4" s="2" t="s">
        <v>2</v>
      </c>
      <c r="E4" s="2" t="s">
        <v>3</v>
      </c>
      <c r="F4" s="144" t="s">
        <v>4</v>
      </c>
      <c r="G4" s="145"/>
      <c r="H4" s="146"/>
      <c r="I4" s="3"/>
      <c r="J4" s="4" t="s">
        <v>5</v>
      </c>
      <c r="K4" s="5"/>
      <c r="L4" s="147" t="s">
        <v>6</v>
      </c>
      <c r="M4" s="148"/>
      <c r="N4" s="148"/>
      <c r="O4" s="148"/>
      <c r="P4" s="148"/>
      <c r="Q4" s="149"/>
      <c r="R4" s="4" t="s">
        <v>7</v>
      </c>
      <c r="S4" s="4" t="s">
        <v>8</v>
      </c>
      <c r="T4" s="6"/>
      <c r="U4" s="2" t="s">
        <v>9</v>
      </c>
      <c r="V4" s="144" t="s">
        <v>10</v>
      </c>
      <c r="W4" s="145"/>
      <c r="X4" s="146"/>
      <c r="Y4" s="2" t="s">
        <v>11</v>
      </c>
    </row>
    <row r="5" spans="1:25" x14ac:dyDescent="0.25">
      <c r="A5" s="119" t="s">
        <v>12</v>
      </c>
      <c r="B5" s="7"/>
      <c r="C5" s="7"/>
      <c r="D5" s="8" t="s">
        <v>13</v>
      </c>
      <c r="E5" s="7" t="s">
        <v>14</v>
      </c>
      <c r="F5" s="2" t="s">
        <v>3</v>
      </c>
      <c r="G5" s="2" t="s">
        <v>15</v>
      </c>
      <c r="H5" s="2" t="s">
        <v>16</v>
      </c>
      <c r="I5" s="3"/>
      <c r="J5" s="9" t="s">
        <v>17</v>
      </c>
      <c r="K5" s="4" t="s">
        <v>18</v>
      </c>
      <c r="L5" s="4" t="s">
        <v>19</v>
      </c>
      <c r="M5" s="4" t="s">
        <v>20</v>
      </c>
      <c r="N5" s="4" t="s">
        <v>21</v>
      </c>
      <c r="O5" s="4" t="s">
        <v>22</v>
      </c>
      <c r="P5" s="4" t="s">
        <v>23</v>
      </c>
      <c r="Q5" s="4" t="s">
        <v>8</v>
      </c>
      <c r="R5" s="9" t="s">
        <v>24</v>
      </c>
      <c r="S5" s="9" t="s">
        <v>25</v>
      </c>
      <c r="T5" s="6"/>
      <c r="U5" s="7" t="s">
        <v>26</v>
      </c>
      <c r="V5" s="2" t="s">
        <v>27</v>
      </c>
      <c r="W5" s="2" t="s">
        <v>28</v>
      </c>
      <c r="X5" s="2" t="s">
        <v>29</v>
      </c>
      <c r="Y5" s="7" t="s">
        <v>30</v>
      </c>
    </row>
    <row r="6" spans="1:25" x14ac:dyDescent="0.25">
      <c r="A6" s="120"/>
      <c r="B6" s="141" t="s">
        <v>31</v>
      </c>
      <c r="C6" s="141"/>
      <c r="D6" s="141"/>
      <c r="E6" s="10"/>
      <c r="F6" s="10" t="s">
        <v>32</v>
      </c>
      <c r="G6" s="10" t="s">
        <v>33</v>
      </c>
      <c r="H6" s="10" t="s">
        <v>34</v>
      </c>
      <c r="I6" s="10"/>
      <c r="J6" s="10" t="s">
        <v>35</v>
      </c>
      <c r="K6" s="10" t="s">
        <v>36</v>
      </c>
      <c r="L6" s="10" t="s">
        <v>37</v>
      </c>
      <c r="M6" s="10" t="s">
        <v>38</v>
      </c>
      <c r="N6" s="10" t="s">
        <v>38</v>
      </c>
      <c r="O6" s="10" t="s">
        <v>39</v>
      </c>
      <c r="P6" s="10" t="s">
        <v>40</v>
      </c>
      <c r="Q6" s="10" t="s">
        <v>41</v>
      </c>
      <c r="R6" s="10" t="s">
        <v>42</v>
      </c>
      <c r="S6" s="10" t="s">
        <v>43</v>
      </c>
      <c r="T6" s="10"/>
      <c r="U6" s="10" t="s">
        <v>44</v>
      </c>
      <c r="V6" s="10"/>
      <c r="W6" s="10"/>
      <c r="X6" s="10" t="s">
        <v>45</v>
      </c>
      <c r="Y6" s="10" t="s">
        <v>46</v>
      </c>
    </row>
    <row r="7" spans="1:25" x14ac:dyDescent="0.25">
      <c r="B7" s="140" t="s">
        <v>275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</row>
    <row r="8" spans="1:25" s="23" customFormat="1" x14ac:dyDescent="0.25">
      <c r="A8" s="121">
        <v>1</v>
      </c>
      <c r="B8" s="12" t="s">
        <v>47</v>
      </c>
      <c r="C8" s="12" t="s">
        <v>48</v>
      </c>
      <c r="D8" s="11">
        <v>15</v>
      </c>
      <c r="E8" s="13">
        <f>TRUNC(F8/15,2)</f>
        <v>603.19000000000005</v>
      </c>
      <c r="F8" s="14">
        <v>9047.85</v>
      </c>
      <c r="G8" s="15">
        <v>0</v>
      </c>
      <c r="H8" s="15">
        <f>TRUNC(SUM(D8*E8)+G8,2)</f>
        <v>9047.85</v>
      </c>
      <c r="I8" s="16"/>
      <c r="J8" s="17">
        <v>0</v>
      </c>
      <c r="K8" s="17">
        <f>H8</f>
        <v>9047.85</v>
      </c>
      <c r="L8" s="17">
        <f>VLOOKUP(K8,Tarifa1,1)</f>
        <v>5081.41</v>
      </c>
      <c r="M8" s="17">
        <f>K8-L8</f>
        <v>3966.4400000000005</v>
      </c>
      <c r="N8" s="18">
        <f>VLOOKUP(K8,Tarifa1,3)</f>
        <v>0.21360000000000001</v>
      </c>
      <c r="O8" s="17">
        <f>M8*N8</f>
        <v>847.23158400000011</v>
      </c>
      <c r="P8" s="17">
        <f>VLOOKUP(K8,Tarifa1,2)</f>
        <v>538.20000000000005</v>
      </c>
      <c r="Q8" s="17">
        <f>O8+P8</f>
        <v>1385.4315840000002</v>
      </c>
      <c r="R8" s="17">
        <f>VLOOKUP(K8,Credito1,2)</f>
        <v>0</v>
      </c>
      <c r="S8" s="17">
        <f>Q8-R8</f>
        <v>1385.4315840000002</v>
      </c>
      <c r="T8" s="19"/>
      <c r="U8" s="15">
        <f>-IF(S8&gt;0,0,S8)</f>
        <v>0</v>
      </c>
      <c r="V8" s="20">
        <f>IF(S8&lt;0,0,S8)</f>
        <v>1385.4315840000002</v>
      </c>
      <c r="W8" s="21">
        <v>0</v>
      </c>
      <c r="X8" s="15">
        <f>SUM(V8:W8)</f>
        <v>1385.4315840000002</v>
      </c>
      <c r="Y8" s="22">
        <f>H8+U8-X8</f>
        <v>7662.4184160000004</v>
      </c>
    </row>
    <row r="9" spans="1:25" s="23" customFormat="1" x14ac:dyDescent="0.25">
      <c r="A9" s="121">
        <v>2</v>
      </c>
      <c r="B9" s="12" t="s">
        <v>49</v>
      </c>
      <c r="C9" s="12" t="s">
        <v>48</v>
      </c>
      <c r="D9" s="11">
        <v>15</v>
      </c>
      <c r="E9" s="13">
        <f t="shared" ref="E9:E16" si="0">TRUNC(F9/15,2)</f>
        <v>603.19000000000005</v>
      </c>
      <c r="F9" s="14">
        <v>9047.85</v>
      </c>
      <c r="G9" s="15">
        <v>0</v>
      </c>
      <c r="H9" s="15">
        <f t="shared" ref="H9:H17" si="1">TRUNC(SUM(D9*E9)+G9,2)</f>
        <v>9047.85</v>
      </c>
      <c r="I9" s="16"/>
      <c r="J9" s="17">
        <v>0</v>
      </c>
      <c r="K9" s="17">
        <f t="shared" ref="K9:K17" si="2">H9</f>
        <v>9047.85</v>
      </c>
      <c r="L9" s="17">
        <f t="shared" ref="L9:L17" si="3">VLOOKUP(K9,Tarifa1,1)</f>
        <v>5081.41</v>
      </c>
      <c r="M9" s="17">
        <f t="shared" ref="M9:M17" si="4">K9-L9</f>
        <v>3966.4400000000005</v>
      </c>
      <c r="N9" s="18">
        <f t="shared" ref="N9:N17" si="5">VLOOKUP(K9,Tarifa1,3)</f>
        <v>0.21360000000000001</v>
      </c>
      <c r="O9" s="17">
        <f t="shared" ref="O9:O17" si="6">M9*N9</f>
        <v>847.23158400000011</v>
      </c>
      <c r="P9" s="17">
        <f t="shared" ref="P9:P17" si="7">VLOOKUP(K9,Tarifa1,2)</f>
        <v>538.20000000000005</v>
      </c>
      <c r="Q9" s="17">
        <f t="shared" ref="Q9:Q17" si="8">O9+P9</f>
        <v>1385.4315840000002</v>
      </c>
      <c r="R9" s="17">
        <f t="shared" ref="R9:R17" si="9">VLOOKUP(K9,Credito1,2)</f>
        <v>0</v>
      </c>
      <c r="S9" s="17">
        <f t="shared" ref="S9:S17" si="10">Q9-R9</f>
        <v>1385.4315840000002</v>
      </c>
      <c r="T9" s="19"/>
      <c r="U9" s="15">
        <f t="shared" ref="U9:U17" si="11">-IF(S9&gt;0,0,S9)</f>
        <v>0</v>
      </c>
      <c r="V9" s="20">
        <f t="shared" ref="V9:V17" si="12">IF(S9&lt;0,0,S9)</f>
        <v>1385.4315840000002</v>
      </c>
      <c r="W9" s="21">
        <v>0</v>
      </c>
      <c r="X9" s="15">
        <f t="shared" ref="X9:X17" si="13">SUM(V9:W9)</f>
        <v>1385.4315840000002</v>
      </c>
      <c r="Y9" s="22">
        <f t="shared" ref="Y9:Y17" si="14">H9+U9-X9</f>
        <v>7662.4184160000004</v>
      </c>
    </row>
    <row r="10" spans="1:25" s="23" customFormat="1" x14ac:dyDescent="0.25">
      <c r="A10" s="121">
        <v>3</v>
      </c>
      <c r="B10" s="12" t="s">
        <v>50</v>
      </c>
      <c r="C10" s="12" t="s">
        <v>48</v>
      </c>
      <c r="D10" s="11">
        <v>15</v>
      </c>
      <c r="E10" s="13">
        <f t="shared" si="0"/>
        <v>603.19000000000005</v>
      </c>
      <c r="F10" s="14">
        <v>9047.85</v>
      </c>
      <c r="G10" s="15">
        <v>0</v>
      </c>
      <c r="H10" s="15">
        <f t="shared" si="1"/>
        <v>9047.85</v>
      </c>
      <c r="I10" s="16"/>
      <c r="J10" s="17">
        <v>0</v>
      </c>
      <c r="K10" s="17">
        <f t="shared" si="2"/>
        <v>9047.85</v>
      </c>
      <c r="L10" s="17">
        <f t="shared" si="3"/>
        <v>5081.41</v>
      </c>
      <c r="M10" s="17">
        <f t="shared" si="4"/>
        <v>3966.4400000000005</v>
      </c>
      <c r="N10" s="18">
        <f t="shared" si="5"/>
        <v>0.21360000000000001</v>
      </c>
      <c r="O10" s="17">
        <f t="shared" si="6"/>
        <v>847.23158400000011</v>
      </c>
      <c r="P10" s="17">
        <f t="shared" si="7"/>
        <v>538.20000000000005</v>
      </c>
      <c r="Q10" s="17">
        <f t="shared" si="8"/>
        <v>1385.4315840000002</v>
      </c>
      <c r="R10" s="17">
        <f t="shared" si="9"/>
        <v>0</v>
      </c>
      <c r="S10" s="17">
        <f t="shared" si="10"/>
        <v>1385.4315840000002</v>
      </c>
      <c r="T10" s="19"/>
      <c r="U10" s="15">
        <f t="shared" si="11"/>
        <v>0</v>
      </c>
      <c r="V10" s="20">
        <f t="shared" si="12"/>
        <v>1385.4315840000002</v>
      </c>
      <c r="W10" s="21">
        <v>0</v>
      </c>
      <c r="X10" s="15">
        <f t="shared" si="13"/>
        <v>1385.4315840000002</v>
      </c>
      <c r="Y10" s="22">
        <f t="shared" si="14"/>
        <v>7662.4184160000004</v>
      </c>
    </row>
    <row r="11" spans="1:25" s="23" customFormat="1" x14ac:dyDescent="0.25">
      <c r="A11" s="121">
        <v>4</v>
      </c>
      <c r="B11" s="12" t="s">
        <v>51</v>
      </c>
      <c r="C11" s="12" t="s">
        <v>48</v>
      </c>
      <c r="D11" s="11">
        <v>15</v>
      </c>
      <c r="E11" s="13">
        <f t="shared" si="0"/>
        <v>603.19000000000005</v>
      </c>
      <c r="F11" s="14">
        <v>9047.85</v>
      </c>
      <c r="G11" s="15">
        <v>0</v>
      </c>
      <c r="H11" s="15">
        <f t="shared" si="1"/>
        <v>9047.85</v>
      </c>
      <c r="I11" s="16"/>
      <c r="J11" s="17">
        <v>0</v>
      </c>
      <c r="K11" s="17">
        <f t="shared" si="2"/>
        <v>9047.85</v>
      </c>
      <c r="L11" s="17">
        <f t="shared" si="3"/>
        <v>5081.41</v>
      </c>
      <c r="M11" s="17">
        <f t="shared" si="4"/>
        <v>3966.4400000000005</v>
      </c>
      <c r="N11" s="18">
        <f t="shared" si="5"/>
        <v>0.21360000000000001</v>
      </c>
      <c r="O11" s="17">
        <f t="shared" si="6"/>
        <v>847.23158400000011</v>
      </c>
      <c r="P11" s="17">
        <f t="shared" si="7"/>
        <v>538.20000000000005</v>
      </c>
      <c r="Q11" s="17">
        <f t="shared" si="8"/>
        <v>1385.4315840000002</v>
      </c>
      <c r="R11" s="17">
        <f t="shared" si="9"/>
        <v>0</v>
      </c>
      <c r="S11" s="17">
        <f t="shared" si="10"/>
        <v>1385.4315840000002</v>
      </c>
      <c r="T11" s="19"/>
      <c r="U11" s="15">
        <f t="shared" si="11"/>
        <v>0</v>
      </c>
      <c r="V11" s="20">
        <f t="shared" si="12"/>
        <v>1385.4315840000002</v>
      </c>
      <c r="W11" s="21">
        <v>0</v>
      </c>
      <c r="X11" s="15">
        <f t="shared" si="13"/>
        <v>1385.4315840000002</v>
      </c>
      <c r="Y11" s="22">
        <f t="shared" si="14"/>
        <v>7662.4184160000004</v>
      </c>
    </row>
    <row r="12" spans="1:25" s="23" customFormat="1" x14ac:dyDescent="0.25">
      <c r="A12" s="121">
        <v>5</v>
      </c>
      <c r="B12" s="12" t="s">
        <v>52</v>
      </c>
      <c r="C12" s="12" t="s">
        <v>48</v>
      </c>
      <c r="D12" s="11">
        <v>15</v>
      </c>
      <c r="E12" s="13">
        <f t="shared" si="0"/>
        <v>603.19000000000005</v>
      </c>
      <c r="F12" s="14">
        <v>9047.85</v>
      </c>
      <c r="G12" s="15">
        <v>0</v>
      </c>
      <c r="H12" s="15">
        <f t="shared" si="1"/>
        <v>9047.85</v>
      </c>
      <c r="I12" s="16"/>
      <c r="J12" s="17">
        <v>0</v>
      </c>
      <c r="K12" s="17">
        <f t="shared" si="2"/>
        <v>9047.85</v>
      </c>
      <c r="L12" s="17">
        <f t="shared" si="3"/>
        <v>5081.41</v>
      </c>
      <c r="M12" s="17">
        <f t="shared" si="4"/>
        <v>3966.4400000000005</v>
      </c>
      <c r="N12" s="18">
        <f t="shared" si="5"/>
        <v>0.21360000000000001</v>
      </c>
      <c r="O12" s="17">
        <f t="shared" si="6"/>
        <v>847.23158400000011</v>
      </c>
      <c r="P12" s="17">
        <f t="shared" si="7"/>
        <v>538.20000000000005</v>
      </c>
      <c r="Q12" s="17">
        <f t="shared" si="8"/>
        <v>1385.4315840000002</v>
      </c>
      <c r="R12" s="17">
        <f t="shared" si="9"/>
        <v>0</v>
      </c>
      <c r="S12" s="17">
        <f t="shared" si="10"/>
        <v>1385.4315840000002</v>
      </c>
      <c r="T12" s="19"/>
      <c r="U12" s="15">
        <f t="shared" si="11"/>
        <v>0</v>
      </c>
      <c r="V12" s="20">
        <f t="shared" si="12"/>
        <v>1385.4315840000002</v>
      </c>
      <c r="W12" s="21">
        <v>0</v>
      </c>
      <c r="X12" s="15">
        <f t="shared" si="13"/>
        <v>1385.4315840000002</v>
      </c>
      <c r="Y12" s="22">
        <f t="shared" si="14"/>
        <v>7662.4184160000004</v>
      </c>
    </row>
    <row r="13" spans="1:25" s="23" customFormat="1" x14ac:dyDescent="0.25">
      <c r="A13" s="121">
        <v>6</v>
      </c>
      <c r="B13" s="12" t="s">
        <v>53</v>
      </c>
      <c r="C13" s="12" t="s">
        <v>48</v>
      </c>
      <c r="D13" s="11">
        <v>15</v>
      </c>
      <c r="E13" s="13">
        <f t="shared" si="0"/>
        <v>603.19000000000005</v>
      </c>
      <c r="F13" s="14">
        <v>9047.85</v>
      </c>
      <c r="G13" s="15">
        <v>0</v>
      </c>
      <c r="H13" s="15">
        <f t="shared" si="1"/>
        <v>9047.85</v>
      </c>
      <c r="I13" s="16"/>
      <c r="J13" s="17">
        <v>0</v>
      </c>
      <c r="K13" s="17">
        <f t="shared" si="2"/>
        <v>9047.85</v>
      </c>
      <c r="L13" s="17">
        <f t="shared" si="3"/>
        <v>5081.41</v>
      </c>
      <c r="M13" s="17">
        <f t="shared" si="4"/>
        <v>3966.4400000000005</v>
      </c>
      <c r="N13" s="18">
        <f t="shared" si="5"/>
        <v>0.21360000000000001</v>
      </c>
      <c r="O13" s="17">
        <f t="shared" si="6"/>
        <v>847.23158400000011</v>
      </c>
      <c r="P13" s="17">
        <f t="shared" si="7"/>
        <v>538.20000000000005</v>
      </c>
      <c r="Q13" s="17">
        <f t="shared" si="8"/>
        <v>1385.4315840000002</v>
      </c>
      <c r="R13" s="17">
        <f t="shared" si="9"/>
        <v>0</v>
      </c>
      <c r="S13" s="17">
        <f t="shared" si="10"/>
        <v>1385.4315840000002</v>
      </c>
      <c r="T13" s="19"/>
      <c r="U13" s="15">
        <f t="shared" si="11"/>
        <v>0</v>
      </c>
      <c r="V13" s="20">
        <f t="shared" si="12"/>
        <v>1385.4315840000002</v>
      </c>
      <c r="W13" s="21">
        <v>0</v>
      </c>
      <c r="X13" s="15">
        <f t="shared" si="13"/>
        <v>1385.4315840000002</v>
      </c>
      <c r="Y13" s="22">
        <f t="shared" si="14"/>
        <v>7662.4184160000004</v>
      </c>
    </row>
    <row r="14" spans="1:25" s="23" customFormat="1" x14ac:dyDescent="0.25">
      <c r="A14" s="121">
        <v>7</v>
      </c>
      <c r="B14" s="12" t="s">
        <v>54</v>
      </c>
      <c r="C14" s="12" t="s">
        <v>48</v>
      </c>
      <c r="D14" s="11">
        <v>15</v>
      </c>
      <c r="E14" s="13">
        <f t="shared" si="0"/>
        <v>603.19000000000005</v>
      </c>
      <c r="F14" s="14">
        <v>9047.85</v>
      </c>
      <c r="G14" s="15">
        <v>0</v>
      </c>
      <c r="H14" s="15">
        <f t="shared" si="1"/>
        <v>9047.85</v>
      </c>
      <c r="I14" s="16"/>
      <c r="J14" s="17">
        <v>0</v>
      </c>
      <c r="K14" s="17">
        <f t="shared" si="2"/>
        <v>9047.85</v>
      </c>
      <c r="L14" s="17">
        <f t="shared" si="3"/>
        <v>5081.41</v>
      </c>
      <c r="M14" s="17">
        <f t="shared" si="4"/>
        <v>3966.4400000000005</v>
      </c>
      <c r="N14" s="18">
        <f t="shared" si="5"/>
        <v>0.21360000000000001</v>
      </c>
      <c r="O14" s="17">
        <f t="shared" si="6"/>
        <v>847.23158400000011</v>
      </c>
      <c r="P14" s="17">
        <f t="shared" si="7"/>
        <v>538.20000000000005</v>
      </c>
      <c r="Q14" s="17">
        <f t="shared" si="8"/>
        <v>1385.4315840000002</v>
      </c>
      <c r="R14" s="17">
        <f t="shared" si="9"/>
        <v>0</v>
      </c>
      <c r="S14" s="17">
        <f t="shared" si="10"/>
        <v>1385.4315840000002</v>
      </c>
      <c r="T14" s="19"/>
      <c r="U14" s="15">
        <f t="shared" si="11"/>
        <v>0</v>
      </c>
      <c r="V14" s="20">
        <f t="shared" si="12"/>
        <v>1385.4315840000002</v>
      </c>
      <c r="W14" s="21">
        <v>0</v>
      </c>
      <c r="X14" s="15">
        <f t="shared" si="13"/>
        <v>1385.4315840000002</v>
      </c>
      <c r="Y14" s="22">
        <f t="shared" si="14"/>
        <v>7662.4184160000004</v>
      </c>
    </row>
    <row r="15" spans="1:25" s="23" customFormat="1" x14ac:dyDescent="0.25">
      <c r="A15" s="121">
        <v>8</v>
      </c>
      <c r="B15" s="12" t="s">
        <v>55</v>
      </c>
      <c r="C15" s="12" t="s">
        <v>48</v>
      </c>
      <c r="D15" s="11">
        <v>15</v>
      </c>
      <c r="E15" s="13">
        <f t="shared" si="0"/>
        <v>603.19000000000005</v>
      </c>
      <c r="F15" s="14">
        <v>9047.85</v>
      </c>
      <c r="G15" s="15">
        <v>0</v>
      </c>
      <c r="H15" s="15">
        <f t="shared" si="1"/>
        <v>9047.85</v>
      </c>
      <c r="I15" s="16"/>
      <c r="J15" s="17">
        <v>0</v>
      </c>
      <c r="K15" s="17">
        <f t="shared" si="2"/>
        <v>9047.85</v>
      </c>
      <c r="L15" s="17">
        <f t="shared" si="3"/>
        <v>5081.41</v>
      </c>
      <c r="M15" s="17">
        <f t="shared" si="4"/>
        <v>3966.4400000000005</v>
      </c>
      <c r="N15" s="18">
        <f t="shared" si="5"/>
        <v>0.21360000000000001</v>
      </c>
      <c r="O15" s="17">
        <f t="shared" si="6"/>
        <v>847.23158400000011</v>
      </c>
      <c r="P15" s="17">
        <f t="shared" si="7"/>
        <v>538.20000000000005</v>
      </c>
      <c r="Q15" s="17">
        <f t="shared" si="8"/>
        <v>1385.4315840000002</v>
      </c>
      <c r="R15" s="17">
        <f t="shared" si="9"/>
        <v>0</v>
      </c>
      <c r="S15" s="17">
        <f t="shared" si="10"/>
        <v>1385.4315840000002</v>
      </c>
      <c r="T15" s="19"/>
      <c r="U15" s="15">
        <f t="shared" si="11"/>
        <v>0</v>
      </c>
      <c r="V15" s="20">
        <f t="shared" si="12"/>
        <v>1385.4315840000002</v>
      </c>
      <c r="W15" s="21">
        <v>0</v>
      </c>
      <c r="X15" s="15">
        <f t="shared" si="13"/>
        <v>1385.4315840000002</v>
      </c>
      <c r="Y15" s="22">
        <f t="shared" si="14"/>
        <v>7662.4184160000004</v>
      </c>
    </row>
    <row r="16" spans="1:25" s="23" customFormat="1" x14ac:dyDescent="0.25">
      <c r="A16" s="121">
        <v>9</v>
      </c>
      <c r="B16" s="12" t="s">
        <v>56</v>
      </c>
      <c r="C16" s="12" t="s">
        <v>48</v>
      </c>
      <c r="D16" s="11">
        <v>15</v>
      </c>
      <c r="E16" s="13">
        <f t="shared" si="0"/>
        <v>603.19000000000005</v>
      </c>
      <c r="F16" s="14">
        <v>9047.85</v>
      </c>
      <c r="G16" s="15">
        <v>0</v>
      </c>
      <c r="H16" s="15">
        <v>9047.85</v>
      </c>
      <c r="I16" s="16"/>
      <c r="J16" s="17">
        <v>0</v>
      </c>
      <c r="K16" s="17">
        <f t="shared" si="2"/>
        <v>9047.85</v>
      </c>
      <c r="L16" s="17">
        <f t="shared" si="3"/>
        <v>5081.41</v>
      </c>
      <c r="M16" s="17">
        <f t="shared" si="4"/>
        <v>3966.4400000000005</v>
      </c>
      <c r="N16" s="18">
        <f t="shared" si="5"/>
        <v>0.21360000000000001</v>
      </c>
      <c r="O16" s="17">
        <f t="shared" si="6"/>
        <v>847.23158400000011</v>
      </c>
      <c r="P16" s="17">
        <f t="shared" si="7"/>
        <v>538.20000000000005</v>
      </c>
      <c r="Q16" s="17">
        <f t="shared" si="8"/>
        <v>1385.4315840000002</v>
      </c>
      <c r="R16" s="17">
        <f t="shared" si="9"/>
        <v>0</v>
      </c>
      <c r="S16" s="17">
        <f t="shared" si="10"/>
        <v>1385.4315840000002</v>
      </c>
      <c r="T16" s="19"/>
      <c r="U16" s="15">
        <f t="shared" si="11"/>
        <v>0</v>
      </c>
      <c r="V16" s="20">
        <f t="shared" si="12"/>
        <v>1385.4315840000002</v>
      </c>
      <c r="W16" s="21">
        <v>0</v>
      </c>
      <c r="X16" s="15">
        <f t="shared" si="13"/>
        <v>1385.4315840000002</v>
      </c>
      <c r="Y16" s="22">
        <f t="shared" si="14"/>
        <v>7662.4184160000004</v>
      </c>
    </row>
    <row r="17" spans="1:25" s="23" customFormat="1" x14ac:dyDescent="0.25">
      <c r="A17" s="121">
        <v>10</v>
      </c>
      <c r="B17" s="12" t="s">
        <v>57</v>
      </c>
      <c r="C17" s="12" t="s">
        <v>58</v>
      </c>
      <c r="D17" s="11">
        <v>15</v>
      </c>
      <c r="E17" s="13">
        <f>F17/15</f>
        <v>989.7886666666667</v>
      </c>
      <c r="F17" s="14">
        <v>14846.83</v>
      </c>
      <c r="G17" s="15">
        <v>0</v>
      </c>
      <c r="H17" s="15">
        <f t="shared" si="1"/>
        <v>14846.83</v>
      </c>
      <c r="I17" s="16"/>
      <c r="J17" s="17">
        <v>0</v>
      </c>
      <c r="K17" s="17">
        <f t="shared" si="2"/>
        <v>14846.83</v>
      </c>
      <c r="L17" s="17">
        <f t="shared" si="3"/>
        <v>10248.459999999999</v>
      </c>
      <c r="M17" s="17">
        <f t="shared" si="4"/>
        <v>4598.3700000000008</v>
      </c>
      <c r="N17" s="18">
        <f t="shared" si="5"/>
        <v>0.23519999999999999</v>
      </c>
      <c r="O17" s="17">
        <f t="shared" si="6"/>
        <v>1081.5366240000001</v>
      </c>
      <c r="P17" s="17">
        <f t="shared" si="7"/>
        <v>1641.75</v>
      </c>
      <c r="Q17" s="17">
        <f t="shared" si="8"/>
        <v>2723.2866240000003</v>
      </c>
      <c r="R17" s="17">
        <f t="shared" si="9"/>
        <v>0</v>
      </c>
      <c r="S17" s="17">
        <f t="shared" si="10"/>
        <v>2723.2866240000003</v>
      </c>
      <c r="T17" s="19"/>
      <c r="U17" s="15">
        <f t="shared" si="11"/>
        <v>0</v>
      </c>
      <c r="V17" s="20">
        <f t="shared" si="12"/>
        <v>2723.2866240000003</v>
      </c>
      <c r="W17" s="21">
        <v>0</v>
      </c>
      <c r="X17" s="15">
        <f t="shared" si="13"/>
        <v>2723.2866240000003</v>
      </c>
      <c r="Y17" s="22">
        <f t="shared" si="14"/>
        <v>12123.543376</v>
      </c>
    </row>
    <row r="18" spans="1:25" s="23" customFormat="1" ht="15" customHeight="1" x14ac:dyDescent="0.25">
      <c r="B18" s="136" t="s">
        <v>59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8"/>
    </row>
    <row r="19" spans="1:25" s="23" customFormat="1" x14ac:dyDescent="0.25">
      <c r="A19" s="122"/>
      <c r="B19" s="25" t="s">
        <v>60</v>
      </c>
      <c r="C19" s="25"/>
      <c r="D19" s="24"/>
      <c r="E19" s="24"/>
      <c r="F19" s="24"/>
      <c r="G19" s="24"/>
      <c r="H19" s="24"/>
      <c r="I19" s="26"/>
      <c r="J19" s="24"/>
      <c r="K19" s="24"/>
      <c r="L19" s="24"/>
      <c r="M19" s="24"/>
      <c r="N19" s="24"/>
      <c r="O19" s="24"/>
      <c r="P19" s="24"/>
      <c r="Q19" s="24"/>
      <c r="R19" s="24"/>
      <c r="S19" s="26"/>
      <c r="T19" s="26"/>
      <c r="U19" s="24"/>
      <c r="V19" s="24"/>
      <c r="W19" s="24"/>
      <c r="X19" s="24"/>
      <c r="Y19" s="24"/>
    </row>
    <row r="20" spans="1:25" s="23" customFormat="1" x14ac:dyDescent="0.25">
      <c r="A20" s="121">
        <v>11</v>
      </c>
      <c r="B20" s="12" t="s">
        <v>61</v>
      </c>
      <c r="C20" s="12" t="s">
        <v>62</v>
      </c>
      <c r="D20" s="11">
        <v>15</v>
      </c>
      <c r="E20" s="13">
        <f>F20/15</f>
        <v>1243.0319999999999</v>
      </c>
      <c r="F20" s="27">
        <v>18645.48</v>
      </c>
      <c r="G20" s="15">
        <v>0</v>
      </c>
      <c r="H20" s="15">
        <f>TRUNC(SUM(D20*E20)+G20,2)</f>
        <v>18645.48</v>
      </c>
      <c r="I20" s="16"/>
      <c r="J20" s="17">
        <v>0</v>
      </c>
      <c r="K20" s="17">
        <f t="shared" ref="K20:K25" si="15">H20+J20</f>
        <v>18645.48</v>
      </c>
      <c r="L20" s="17">
        <f t="shared" ref="L20:L25" si="16">IF(H20=0,0,VLOOKUP(K20,Tarifa1,1))</f>
        <v>16153.06</v>
      </c>
      <c r="M20" s="17">
        <f t="shared" ref="M20:M25" si="17">K20-L20</f>
        <v>2492.42</v>
      </c>
      <c r="N20" s="18">
        <f t="shared" ref="N20:N25" si="18">VLOOKUP(K20,Tarifa1,3)</f>
        <v>0.3</v>
      </c>
      <c r="O20" s="17">
        <f t="shared" ref="O20:O25" si="19">M20*N20</f>
        <v>747.726</v>
      </c>
      <c r="P20" s="17">
        <f t="shared" ref="P20:P25" si="20">VLOOKUP(K20,Tarifa1,2)</f>
        <v>3030.6</v>
      </c>
      <c r="Q20" s="17">
        <f t="shared" ref="Q20:Q25" si="21">O20+P20</f>
        <v>3778.326</v>
      </c>
      <c r="R20" s="17">
        <f t="shared" ref="R20:R25" si="22">VLOOKUP(K20,Credito1,2)</f>
        <v>0</v>
      </c>
      <c r="S20" s="17">
        <f t="shared" ref="S20:S25" si="23">Q20-R20</f>
        <v>3778.326</v>
      </c>
      <c r="T20" s="19"/>
      <c r="U20" s="15">
        <f t="shared" ref="U20:U25" si="24">-IF(S20&gt;0,0,S20)</f>
        <v>0</v>
      </c>
      <c r="V20" s="20">
        <f t="shared" ref="V20:V25" si="25">IF(S20&lt;0,0,S20)</f>
        <v>3778.326</v>
      </c>
      <c r="W20" s="21">
        <v>0</v>
      </c>
      <c r="X20" s="15">
        <f t="shared" ref="X20:X25" si="26">SUM(V20:W20)</f>
        <v>3778.326</v>
      </c>
      <c r="Y20" s="22">
        <f t="shared" ref="Y20:Y25" si="27">H20+U20-X20</f>
        <v>14867.153999999999</v>
      </c>
    </row>
    <row r="21" spans="1:25" s="23" customFormat="1" ht="26.25" x14ac:dyDescent="0.25">
      <c r="A21" s="121">
        <v>12</v>
      </c>
      <c r="B21" s="12" t="s">
        <v>63</v>
      </c>
      <c r="C21" s="12" t="s">
        <v>64</v>
      </c>
      <c r="D21" s="11">
        <v>15</v>
      </c>
      <c r="E21" s="13">
        <f t="shared" ref="E21:E43" si="28">F21/15</f>
        <v>333.33333333333331</v>
      </c>
      <c r="F21" s="27">
        <v>5000</v>
      </c>
      <c r="G21" s="15">
        <v>0</v>
      </c>
      <c r="H21" s="15">
        <f t="shared" ref="H21:H43" si="29">TRUNC(SUM(D21*E21)+G21,2)</f>
        <v>5000</v>
      </c>
      <c r="I21" s="16"/>
      <c r="J21" s="17">
        <v>0</v>
      </c>
      <c r="K21" s="17">
        <f t="shared" si="15"/>
        <v>5000</v>
      </c>
      <c r="L21" s="17">
        <f t="shared" si="16"/>
        <v>4244.1099999999997</v>
      </c>
      <c r="M21" s="17">
        <f t="shared" si="17"/>
        <v>755.89000000000033</v>
      </c>
      <c r="N21" s="18">
        <f t="shared" si="18"/>
        <v>0.1792</v>
      </c>
      <c r="O21" s="17">
        <f t="shared" si="19"/>
        <v>135.45548800000006</v>
      </c>
      <c r="P21" s="17">
        <f t="shared" si="20"/>
        <v>388.05</v>
      </c>
      <c r="Q21" s="17">
        <f t="shared" si="21"/>
        <v>523.50548800000001</v>
      </c>
      <c r="R21" s="17">
        <f t="shared" si="22"/>
        <v>0</v>
      </c>
      <c r="S21" s="17">
        <f t="shared" si="23"/>
        <v>523.50548800000001</v>
      </c>
      <c r="T21" s="19"/>
      <c r="U21" s="15">
        <f t="shared" si="24"/>
        <v>0</v>
      </c>
      <c r="V21" s="20">
        <f t="shared" si="25"/>
        <v>523.50548800000001</v>
      </c>
      <c r="W21" s="21">
        <v>0</v>
      </c>
      <c r="X21" s="15">
        <f t="shared" si="26"/>
        <v>523.50548800000001</v>
      </c>
      <c r="Y21" s="22">
        <f t="shared" si="27"/>
        <v>4476.4945120000002</v>
      </c>
    </row>
    <row r="22" spans="1:25" s="23" customFormat="1" x14ac:dyDescent="0.25">
      <c r="A22" s="121">
        <v>13</v>
      </c>
      <c r="B22" s="12" t="s">
        <v>65</v>
      </c>
      <c r="C22" s="12" t="s">
        <v>66</v>
      </c>
      <c r="D22" s="11">
        <v>15</v>
      </c>
      <c r="E22" s="13">
        <f t="shared" si="28"/>
        <v>123.53333333333333</v>
      </c>
      <c r="F22" s="27">
        <v>1853</v>
      </c>
      <c r="G22" s="15">
        <v>0</v>
      </c>
      <c r="H22" s="15">
        <f t="shared" si="29"/>
        <v>1853</v>
      </c>
      <c r="I22" s="16"/>
      <c r="J22" s="17">
        <v>0</v>
      </c>
      <c r="K22" s="17">
        <f t="shared" si="15"/>
        <v>1853</v>
      </c>
      <c r="L22" s="17">
        <f t="shared" si="16"/>
        <v>244.81</v>
      </c>
      <c r="M22" s="17">
        <f t="shared" si="17"/>
        <v>1608.19</v>
      </c>
      <c r="N22" s="18">
        <f t="shared" si="18"/>
        <v>6.4000000000000001E-2</v>
      </c>
      <c r="O22" s="17">
        <f t="shared" si="19"/>
        <v>102.92416</v>
      </c>
      <c r="P22" s="17">
        <f t="shared" si="20"/>
        <v>4.6500000000000004</v>
      </c>
      <c r="Q22" s="17">
        <f t="shared" si="21"/>
        <v>107.57416000000001</v>
      </c>
      <c r="R22" s="17">
        <f t="shared" si="22"/>
        <v>188.7</v>
      </c>
      <c r="S22" s="17">
        <f t="shared" si="23"/>
        <v>-81.125839999999982</v>
      </c>
      <c r="T22" s="19"/>
      <c r="U22" s="15">
        <f t="shared" si="24"/>
        <v>81.125839999999982</v>
      </c>
      <c r="V22" s="20">
        <f t="shared" si="25"/>
        <v>0</v>
      </c>
      <c r="W22" s="21">
        <v>0</v>
      </c>
      <c r="X22" s="15">
        <f t="shared" si="26"/>
        <v>0</v>
      </c>
      <c r="Y22" s="22">
        <f t="shared" si="27"/>
        <v>1934.1258399999999</v>
      </c>
    </row>
    <row r="23" spans="1:25" s="23" customFormat="1" x14ac:dyDescent="0.25">
      <c r="A23" s="121">
        <v>14</v>
      </c>
      <c r="B23" s="12" t="s">
        <v>67</v>
      </c>
      <c r="C23" s="12" t="s">
        <v>68</v>
      </c>
      <c r="D23" s="11">
        <v>15</v>
      </c>
      <c r="E23" s="13">
        <f t="shared" si="28"/>
        <v>204.2</v>
      </c>
      <c r="F23" s="27">
        <v>3063</v>
      </c>
      <c r="G23" s="15">
        <v>0</v>
      </c>
      <c r="H23" s="15">
        <f t="shared" si="29"/>
        <v>3063</v>
      </c>
      <c r="I23" s="16"/>
      <c r="J23" s="17">
        <v>0</v>
      </c>
      <c r="K23" s="17">
        <f t="shared" si="15"/>
        <v>3063</v>
      </c>
      <c r="L23" s="17">
        <f t="shared" si="16"/>
        <v>2077.5100000000002</v>
      </c>
      <c r="M23" s="17">
        <f t="shared" si="17"/>
        <v>985.48999999999978</v>
      </c>
      <c r="N23" s="18">
        <f t="shared" si="18"/>
        <v>0.10879999999999999</v>
      </c>
      <c r="O23" s="17">
        <f t="shared" si="19"/>
        <v>107.22131199999997</v>
      </c>
      <c r="P23" s="17">
        <f t="shared" si="20"/>
        <v>121.95</v>
      </c>
      <c r="Q23" s="17">
        <f t="shared" si="21"/>
        <v>229.17131199999997</v>
      </c>
      <c r="R23" s="17">
        <f t="shared" si="22"/>
        <v>145.35</v>
      </c>
      <c r="S23" s="17">
        <f t="shared" si="23"/>
        <v>83.821311999999978</v>
      </c>
      <c r="T23" s="19"/>
      <c r="U23" s="15">
        <f t="shared" si="24"/>
        <v>0</v>
      </c>
      <c r="V23" s="20">
        <f t="shared" si="25"/>
        <v>83.821311999999978</v>
      </c>
      <c r="W23" s="21">
        <v>0</v>
      </c>
      <c r="X23" s="15">
        <f t="shared" si="26"/>
        <v>83.821311999999978</v>
      </c>
      <c r="Y23" s="22">
        <f t="shared" si="27"/>
        <v>2979.178688</v>
      </c>
    </row>
    <row r="24" spans="1:25" s="23" customFormat="1" x14ac:dyDescent="0.25">
      <c r="A24" s="121">
        <v>15</v>
      </c>
      <c r="B24" s="12" t="s">
        <v>69</v>
      </c>
      <c r="C24" s="12" t="s">
        <v>70</v>
      </c>
      <c r="D24" s="11">
        <v>15</v>
      </c>
      <c r="E24" s="13">
        <f t="shared" si="28"/>
        <v>109.6</v>
      </c>
      <c r="F24" s="27">
        <v>1644</v>
      </c>
      <c r="G24" s="15">
        <v>0</v>
      </c>
      <c r="H24" s="15">
        <f t="shared" si="29"/>
        <v>1644</v>
      </c>
      <c r="I24" s="16"/>
      <c r="J24" s="17">
        <v>0</v>
      </c>
      <c r="K24" s="17">
        <f t="shared" si="15"/>
        <v>1644</v>
      </c>
      <c r="L24" s="17">
        <f t="shared" si="16"/>
        <v>244.81</v>
      </c>
      <c r="M24" s="17">
        <f t="shared" si="17"/>
        <v>1399.19</v>
      </c>
      <c r="N24" s="18">
        <f t="shared" si="18"/>
        <v>6.4000000000000001E-2</v>
      </c>
      <c r="O24" s="17">
        <f t="shared" si="19"/>
        <v>89.54816000000001</v>
      </c>
      <c r="P24" s="17">
        <f t="shared" si="20"/>
        <v>4.6500000000000004</v>
      </c>
      <c r="Q24" s="17">
        <f t="shared" si="21"/>
        <v>94.198160000000016</v>
      </c>
      <c r="R24" s="17">
        <f t="shared" si="22"/>
        <v>200.7</v>
      </c>
      <c r="S24" s="17">
        <f t="shared" si="23"/>
        <v>-106.50183999999997</v>
      </c>
      <c r="T24" s="19"/>
      <c r="U24" s="15">
        <f t="shared" si="24"/>
        <v>106.50183999999997</v>
      </c>
      <c r="V24" s="20">
        <f t="shared" si="25"/>
        <v>0</v>
      </c>
      <c r="W24" s="21">
        <v>0</v>
      </c>
      <c r="X24" s="15">
        <f t="shared" si="26"/>
        <v>0</v>
      </c>
      <c r="Y24" s="22">
        <f t="shared" si="27"/>
        <v>1750.5018399999999</v>
      </c>
    </row>
    <row r="25" spans="1:25" s="23" customFormat="1" x14ac:dyDescent="0.25">
      <c r="A25" s="121">
        <v>16</v>
      </c>
      <c r="B25" s="12" t="s">
        <v>71</v>
      </c>
      <c r="C25" s="12" t="s">
        <v>72</v>
      </c>
      <c r="D25" s="11">
        <v>15</v>
      </c>
      <c r="E25" s="13">
        <f t="shared" si="28"/>
        <v>102.13333333333334</v>
      </c>
      <c r="F25" s="27">
        <v>1532</v>
      </c>
      <c r="G25" s="15">
        <v>0</v>
      </c>
      <c r="H25" s="15">
        <f t="shared" si="29"/>
        <v>1532</v>
      </c>
      <c r="I25" s="16"/>
      <c r="J25" s="17">
        <v>0</v>
      </c>
      <c r="K25" s="17">
        <f t="shared" si="15"/>
        <v>1532</v>
      </c>
      <c r="L25" s="17">
        <f t="shared" si="16"/>
        <v>244.81</v>
      </c>
      <c r="M25" s="17">
        <f t="shared" si="17"/>
        <v>1287.19</v>
      </c>
      <c r="N25" s="18">
        <f t="shared" si="18"/>
        <v>6.4000000000000001E-2</v>
      </c>
      <c r="O25" s="17">
        <f t="shared" si="19"/>
        <v>82.380160000000004</v>
      </c>
      <c r="P25" s="17">
        <f t="shared" si="20"/>
        <v>4.6500000000000004</v>
      </c>
      <c r="Q25" s="17">
        <f t="shared" si="21"/>
        <v>87.030160000000009</v>
      </c>
      <c r="R25" s="17">
        <f t="shared" si="22"/>
        <v>200.7</v>
      </c>
      <c r="S25" s="17">
        <f t="shared" si="23"/>
        <v>-113.66983999999998</v>
      </c>
      <c r="T25" s="19"/>
      <c r="U25" s="15">
        <f t="shared" si="24"/>
        <v>113.66983999999998</v>
      </c>
      <c r="V25" s="20">
        <f t="shared" si="25"/>
        <v>0</v>
      </c>
      <c r="W25" s="21">
        <v>0</v>
      </c>
      <c r="X25" s="15">
        <f t="shared" si="26"/>
        <v>0</v>
      </c>
      <c r="Y25" s="22">
        <f t="shared" si="27"/>
        <v>1645.66984</v>
      </c>
    </row>
    <row r="26" spans="1:25" s="23" customFormat="1" x14ac:dyDescent="0.25">
      <c r="A26" s="121"/>
      <c r="B26" s="28" t="s">
        <v>73</v>
      </c>
      <c r="C26" s="29"/>
      <c r="D26" s="30"/>
      <c r="E26" s="15"/>
      <c r="F26" s="16"/>
      <c r="G26" s="31"/>
      <c r="H26" s="31"/>
      <c r="I26" s="17"/>
      <c r="J26" s="17"/>
      <c r="K26" s="18"/>
      <c r="L26" s="17"/>
      <c r="M26" s="17"/>
      <c r="N26" s="17"/>
      <c r="O26" s="17"/>
      <c r="P26" s="17"/>
      <c r="Q26" s="19"/>
      <c r="R26" s="15"/>
      <c r="S26" s="20"/>
      <c r="T26" s="21"/>
      <c r="U26" s="15"/>
      <c r="V26" s="22"/>
      <c r="W26" s="21"/>
      <c r="X26" s="15"/>
      <c r="Y26" s="22"/>
    </row>
    <row r="27" spans="1:25" s="23" customFormat="1" ht="26.25" x14ac:dyDescent="0.25">
      <c r="A27" s="121">
        <v>17</v>
      </c>
      <c r="B27" s="12" t="s">
        <v>74</v>
      </c>
      <c r="C27" s="12" t="s">
        <v>75</v>
      </c>
      <c r="D27" s="11">
        <v>15</v>
      </c>
      <c r="E27" s="13">
        <f t="shared" si="28"/>
        <v>555.20000000000005</v>
      </c>
      <c r="F27" s="27">
        <v>8328</v>
      </c>
      <c r="G27" s="15">
        <v>0</v>
      </c>
      <c r="H27" s="15">
        <f t="shared" si="29"/>
        <v>8328</v>
      </c>
      <c r="I27" s="16"/>
      <c r="J27" s="17">
        <v>0</v>
      </c>
      <c r="K27" s="17">
        <f>H27+J27</f>
        <v>8328</v>
      </c>
      <c r="L27" s="17">
        <f>IF(H27=0,0,VLOOKUP(K27,Tarifa1,1))</f>
        <v>5081.41</v>
      </c>
      <c r="M27" s="17">
        <f>K27-L27</f>
        <v>3246.59</v>
      </c>
      <c r="N27" s="18">
        <f>VLOOKUP(K27,Tarifa1,3)</f>
        <v>0.21360000000000001</v>
      </c>
      <c r="O27" s="17">
        <f>M27*N27</f>
        <v>693.47162400000002</v>
      </c>
      <c r="P27" s="17">
        <f>VLOOKUP(K27,Tarifa1,2)</f>
        <v>538.20000000000005</v>
      </c>
      <c r="Q27" s="17">
        <f>O27+P27</f>
        <v>1231.6716240000001</v>
      </c>
      <c r="R27" s="17">
        <f>VLOOKUP(K27,Credito1,2)</f>
        <v>0</v>
      </c>
      <c r="S27" s="17">
        <f>Q27-R27</f>
        <v>1231.6716240000001</v>
      </c>
      <c r="T27" s="19"/>
      <c r="U27" s="15">
        <f>-IF(S27&gt;0,0,S27)</f>
        <v>0</v>
      </c>
      <c r="V27" s="20">
        <f>IF(S27&lt;0,0,S27)</f>
        <v>1231.6716240000001</v>
      </c>
      <c r="W27" s="21">
        <v>0</v>
      </c>
      <c r="X27" s="15">
        <f>SUM(V27:W27)</f>
        <v>1231.6716240000001</v>
      </c>
      <c r="Y27" s="22">
        <f>H27+U27-X27</f>
        <v>7096.3283759999995</v>
      </c>
    </row>
    <row r="28" spans="1:25" s="23" customFormat="1" x14ac:dyDescent="0.25">
      <c r="A28" s="121"/>
      <c r="B28" s="28" t="s">
        <v>76</v>
      </c>
      <c r="C28" s="12"/>
      <c r="D28" s="11"/>
      <c r="E28" s="13"/>
      <c r="F28" s="27"/>
      <c r="G28" s="15"/>
      <c r="H28" s="15"/>
      <c r="I28" s="16"/>
      <c r="J28" s="17"/>
      <c r="K28" s="17"/>
      <c r="L28" s="17"/>
      <c r="M28" s="17"/>
      <c r="N28" s="18"/>
      <c r="O28" s="17"/>
      <c r="P28" s="17"/>
      <c r="Q28" s="17"/>
      <c r="R28" s="17"/>
      <c r="S28" s="17"/>
      <c r="T28" s="19"/>
      <c r="U28" s="15"/>
      <c r="V28" s="20"/>
      <c r="W28" s="21"/>
      <c r="X28" s="15"/>
      <c r="Y28" s="22"/>
    </row>
    <row r="29" spans="1:25" s="23" customFormat="1" ht="29.25" x14ac:dyDescent="0.25">
      <c r="A29" s="121">
        <v>18</v>
      </c>
      <c r="B29" s="32" t="s">
        <v>77</v>
      </c>
      <c r="C29" s="12" t="s">
        <v>78</v>
      </c>
      <c r="D29" s="11">
        <v>15</v>
      </c>
      <c r="E29" s="13">
        <f>F29/15</f>
        <v>123.53333333333333</v>
      </c>
      <c r="F29" s="27">
        <v>1853</v>
      </c>
      <c r="G29" s="15">
        <v>0</v>
      </c>
      <c r="H29" s="15">
        <f>TRUNC(SUM(D29*E29)+G29,2)</f>
        <v>1853</v>
      </c>
      <c r="I29" s="16"/>
      <c r="J29" s="17">
        <v>0</v>
      </c>
      <c r="K29" s="17">
        <f>H29+J29</f>
        <v>1853</v>
      </c>
      <c r="L29" s="17">
        <f>IF(H29=0,0,VLOOKUP(K29,Tarifa1,1))</f>
        <v>244.81</v>
      </c>
      <c r="M29" s="17">
        <f>K29-L29</f>
        <v>1608.19</v>
      </c>
      <c r="N29" s="18">
        <f>VLOOKUP(K29,Tarifa1,3)</f>
        <v>6.4000000000000001E-2</v>
      </c>
      <c r="O29" s="17">
        <f>M29*N29</f>
        <v>102.92416</v>
      </c>
      <c r="P29" s="17">
        <f>VLOOKUP(K29,Tarifa1,2)</f>
        <v>4.6500000000000004</v>
      </c>
      <c r="Q29" s="17">
        <f>O29+P29</f>
        <v>107.57416000000001</v>
      </c>
      <c r="R29" s="17">
        <f>VLOOKUP(K29,Credito1,2)</f>
        <v>188.7</v>
      </c>
      <c r="S29" s="17">
        <f>Q29-R29</f>
        <v>-81.125839999999982</v>
      </c>
      <c r="T29" s="19"/>
      <c r="U29" s="15">
        <f>-IF(S29&gt;0,0,S29)</f>
        <v>81.125839999999982</v>
      </c>
      <c r="V29" s="20">
        <f>IF(S29&lt;0,0,S29)</f>
        <v>0</v>
      </c>
      <c r="W29" s="21">
        <v>0</v>
      </c>
      <c r="X29" s="15">
        <f>SUM(V29:W29)</f>
        <v>0</v>
      </c>
      <c r="Y29" s="22">
        <f>H29+U29-X29</f>
        <v>1934.1258399999999</v>
      </c>
    </row>
    <row r="30" spans="1:25" s="23" customFormat="1" x14ac:dyDescent="0.25">
      <c r="A30" s="121"/>
      <c r="B30" s="28" t="s">
        <v>79</v>
      </c>
      <c r="C30" s="12"/>
      <c r="D30" s="11"/>
      <c r="E30" s="13"/>
      <c r="F30" s="27"/>
      <c r="G30" s="15"/>
      <c r="H30" s="15"/>
      <c r="I30" s="16"/>
      <c r="J30" s="17"/>
      <c r="K30" s="17"/>
      <c r="L30" s="17"/>
      <c r="M30" s="17"/>
      <c r="N30" s="18"/>
      <c r="O30" s="17"/>
      <c r="P30" s="17"/>
      <c r="Q30" s="17"/>
      <c r="R30" s="17"/>
      <c r="S30" s="17"/>
      <c r="T30" s="19"/>
      <c r="U30" s="15"/>
      <c r="V30" s="20"/>
      <c r="W30" s="21"/>
      <c r="X30" s="15"/>
      <c r="Y30" s="22"/>
    </row>
    <row r="31" spans="1:25" s="23" customFormat="1" x14ac:dyDescent="0.25">
      <c r="A31" s="121">
        <v>19</v>
      </c>
      <c r="B31" s="12" t="s">
        <v>80</v>
      </c>
      <c r="C31" s="12" t="s">
        <v>81</v>
      </c>
      <c r="D31" s="11">
        <v>15</v>
      </c>
      <c r="E31" s="13">
        <f t="shared" si="28"/>
        <v>216.26666666666668</v>
      </c>
      <c r="F31" s="27">
        <v>3244</v>
      </c>
      <c r="G31" s="15">
        <v>0</v>
      </c>
      <c r="H31" s="15">
        <f t="shared" si="29"/>
        <v>3244</v>
      </c>
      <c r="I31" s="16"/>
      <c r="J31" s="17">
        <v>0</v>
      </c>
      <c r="K31" s="17">
        <f>H31+J31</f>
        <v>3244</v>
      </c>
      <c r="L31" s="17">
        <f>IF(H31=0,0,VLOOKUP(K31,Tarifa1,1))</f>
        <v>2077.5100000000002</v>
      </c>
      <c r="M31" s="17">
        <f>K31-L31</f>
        <v>1166.4899999999998</v>
      </c>
      <c r="N31" s="18">
        <f>VLOOKUP(K31,Tarifa1,3)</f>
        <v>0.10879999999999999</v>
      </c>
      <c r="O31" s="17">
        <f>M31*N31</f>
        <v>126.91411199999997</v>
      </c>
      <c r="P31" s="17">
        <f>VLOOKUP(K31,Tarifa1,2)</f>
        <v>121.95</v>
      </c>
      <c r="Q31" s="17">
        <f>O31+P31</f>
        <v>248.86411199999998</v>
      </c>
      <c r="R31" s="17">
        <f>VLOOKUP(K31,Credito1,2)</f>
        <v>125.1</v>
      </c>
      <c r="S31" s="17">
        <f>Q31-R31</f>
        <v>123.76411199999998</v>
      </c>
      <c r="T31" s="19"/>
      <c r="U31" s="15">
        <f>-IF(S31&gt;0,0,S31)</f>
        <v>0</v>
      </c>
      <c r="V31" s="20">
        <f>IF(S31&lt;0,0,S31)</f>
        <v>123.76411199999998</v>
      </c>
      <c r="W31" s="21">
        <v>0</v>
      </c>
      <c r="X31" s="15">
        <f>SUM(V31:W31)</f>
        <v>123.76411199999998</v>
      </c>
      <c r="Y31" s="22">
        <f>H31+U31-X31</f>
        <v>3120.2358880000002</v>
      </c>
    </row>
    <row r="32" spans="1:25" s="23" customFormat="1" ht="26.25" x14ac:dyDescent="0.25">
      <c r="A32" s="121">
        <v>20</v>
      </c>
      <c r="B32" s="12" t="s">
        <v>82</v>
      </c>
      <c r="C32" s="12" t="s">
        <v>83</v>
      </c>
      <c r="D32" s="11">
        <v>15</v>
      </c>
      <c r="E32" s="13">
        <f t="shared" si="28"/>
        <v>123.53333333333333</v>
      </c>
      <c r="F32" s="27">
        <v>1853</v>
      </c>
      <c r="G32" s="15">
        <v>0</v>
      </c>
      <c r="H32" s="15">
        <f t="shared" si="29"/>
        <v>1853</v>
      </c>
      <c r="I32" s="16"/>
      <c r="J32" s="17">
        <v>0</v>
      </c>
      <c r="K32" s="17">
        <f>H32+J32</f>
        <v>1853</v>
      </c>
      <c r="L32" s="17">
        <f>IF(H32=0,0,VLOOKUP(K32,Tarifa1,1))</f>
        <v>244.81</v>
      </c>
      <c r="M32" s="17">
        <f>K32-L32</f>
        <v>1608.19</v>
      </c>
      <c r="N32" s="18">
        <f>VLOOKUP(K32,Tarifa1,3)</f>
        <v>6.4000000000000001E-2</v>
      </c>
      <c r="O32" s="17">
        <f>M32*N32</f>
        <v>102.92416</v>
      </c>
      <c r="P32" s="17">
        <f>VLOOKUP(K32,Tarifa1,2)</f>
        <v>4.6500000000000004</v>
      </c>
      <c r="Q32" s="17">
        <f>O32+P32</f>
        <v>107.57416000000001</v>
      </c>
      <c r="R32" s="17">
        <f>VLOOKUP(K32,Credito1,2)</f>
        <v>188.7</v>
      </c>
      <c r="S32" s="17">
        <f>Q32-R32</f>
        <v>-81.125839999999982</v>
      </c>
      <c r="T32" s="19"/>
      <c r="U32" s="15">
        <f>-IF(S32&gt;0,0,S32)</f>
        <v>81.125839999999982</v>
      </c>
      <c r="V32" s="20">
        <f>IF(S32&lt;0,0,S32)</f>
        <v>0</v>
      </c>
      <c r="W32" s="21">
        <v>0</v>
      </c>
      <c r="X32" s="15">
        <f>SUM(V32:W32)</f>
        <v>0</v>
      </c>
      <c r="Y32" s="22">
        <f>H32+U32-X32</f>
        <v>1934.1258399999999</v>
      </c>
    </row>
    <row r="33" spans="1:25" s="23" customFormat="1" x14ac:dyDescent="0.25">
      <c r="A33" s="121"/>
      <c r="B33" s="28" t="s">
        <v>84</v>
      </c>
      <c r="C33" s="12"/>
      <c r="D33" s="11"/>
      <c r="E33" s="13"/>
      <c r="F33" s="27"/>
      <c r="G33" s="15"/>
      <c r="H33" s="15"/>
      <c r="I33" s="16"/>
      <c r="J33" s="17"/>
      <c r="K33" s="17"/>
      <c r="L33" s="17"/>
      <c r="M33" s="17"/>
      <c r="N33" s="18"/>
      <c r="O33" s="17"/>
      <c r="P33" s="17"/>
      <c r="Q33" s="17"/>
      <c r="R33" s="17"/>
      <c r="S33" s="17"/>
      <c r="T33" s="19"/>
      <c r="U33" s="15"/>
      <c r="V33" s="20"/>
      <c r="W33" s="21"/>
      <c r="X33" s="15"/>
      <c r="Y33" s="22"/>
    </row>
    <row r="34" spans="1:25" s="23" customFormat="1" x14ac:dyDescent="0.25">
      <c r="A34" s="121">
        <v>21</v>
      </c>
      <c r="B34" s="12" t="s">
        <v>85</v>
      </c>
      <c r="C34" s="12" t="s">
        <v>86</v>
      </c>
      <c r="D34" s="11">
        <v>15</v>
      </c>
      <c r="E34" s="13">
        <f t="shared" si="28"/>
        <v>216.26666666666668</v>
      </c>
      <c r="F34" s="27">
        <v>3244</v>
      </c>
      <c r="G34" s="15">
        <v>0</v>
      </c>
      <c r="H34" s="15">
        <f t="shared" si="29"/>
        <v>3244</v>
      </c>
      <c r="I34" s="16"/>
      <c r="J34" s="17">
        <v>0</v>
      </c>
      <c r="K34" s="17">
        <f>H34+J34</f>
        <v>3244</v>
      </c>
      <c r="L34" s="17">
        <f>VLOOKUP(K34,Tarifa1,1)</f>
        <v>2077.5100000000002</v>
      </c>
      <c r="M34" s="17">
        <f>K34-L34</f>
        <v>1166.4899999999998</v>
      </c>
      <c r="N34" s="18">
        <f>VLOOKUP(K34,Tarifa1,3)</f>
        <v>0.10879999999999999</v>
      </c>
      <c r="O34" s="17">
        <f>M34*N34</f>
        <v>126.91411199999997</v>
      </c>
      <c r="P34" s="17">
        <f>VLOOKUP(K34,Tarifa1,2)</f>
        <v>121.95</v>
      </c>
      <c r="Q34" s="17">
        <f>O34+P34</f>
        <v>248.86411199999998</v>
      </c>
      <c r="R34" s="17">
        <f>VLOOKUP(K34,Credito1,2)</f>
        <v>125.1</v>
      </c>
      <c r="S34" s="17">
        <f>Q34-R34</f>
        <v>123.76411199999998</v>
      </c>
      <c r="T34" s="19"/>
      <c r="U34" s="15">
        <f>-IF(S34&gt;0,0,S34)</f>
        <v>0</v>
      </c>
      <c r="V34" s="20">
        <f>IF(S34&lt;0,0,S34)</f>
        <v>123.76411199999998</v>
      </c>
      <c r="W34" s="21">
        <v>0</v>
      </c>
      <c r="X34" s="15">
        <f>SUM(V34:W34)</f>
        <v>123.76411199999998</v>
      </c>
      <c r="Y34" s="22">
        <f>H34+U34-X34</f>
        <v>3120.2358880000002</v>
      </c>
    </row>
    <row r="35" spans="1:25" s="23" customFormat="1" x14ac:dyDescent="0.25">
      <c r="A35" s="121"/>
      <c r="B35" s="28" t="s">
        <v>87</v>
      </c>
      <c r="C35" s="12"/>
      <c r="D35" s="11"/>
      <c r="E35" s="13"/>
      <c r="F35" s="27"/>
      <c r="G35" s="15"/>
      <c r="H35" s="15"/>
      <c r="I35" s="16"/>
      <c r="J35" s="17"/>
      <c r="K35" s="17"/>
      <c r="L35" s="17"/>
      <c r="M35" s="17"/>
      <c r="N35" s="18"/>
      <c r="O35" s="17"/>
      <c r="P35" s="17"/>
      <c r="Q35" s="17"/>
      <c r="R35" s="17"/>
      <c r="S35" s="17"/>
      <c r="T35" s="19"/>
      <c r="U35" s="15"/>
      <c r="V35" s="20"/>
      <c r="W35" s="21"/>
      <c r="X35" s="15"/>
      <c r="Y35" s="22"/>
    </row>
    <row r="36" spans="1:25" s="23" customFormat="1" x14ac:dyDescent="0.25">
      <c r="A36" s="121">
        <v>22</v>
      </c>
      <c r="B36" s="12" t="s">
        <v>88</v>
      </c>
      <c r="C36" s="12" t="s">
        <v>89</v>
      </c>
      <c r="D36" s="11">
        <v>15</v>
      </c>
      <c r="E36" s="13">
        <f t="shared" si="28"/>
        <v>216.26666666666668</v>
      </c>
      <c r="F36" s="27">
        <v>3244</v>
      </c>
      <c r="G36" s="15">
        <v>0</v>
      </c>
      <c r="H36" s="15">
        <f t="shared" si="29"/>
        <v>3244</v>
      </c>
      <c r="I36" s="16"/>
      <c r="J36" s="17">
        <v>0</v>
      </c>
      <c r="K36" s="17">
        <f>H36+J36</f>
        <v>3244</v>
      </c>
      <c r="L36" s="17">
        <f>VLOOKUP(K36,Tarifa1,1)</f>
        <v>2077.5100000000002</v>
      </c>
      <c r="M36" s="17">
        <f>K36-L36</f>
        <v>1166.4899999999998</v>
      </c>
      <c r="N36" s="18">
        <f>VLOOKUP(K36,Tarifa1,3)</f>
        <v>0.10879999999999999</v>
      </c>
      <c r="O36" s="17">
        <f>M36*N36</f>
        <v>126.91411199999997</v>
      </c>
      <c r="P36" s="17">
        <f>VLOOKUP(K36,Tarifa1,2)</f>
        <v>121.95</v>
      </c>
      <c r="Q36" s="17">
        <f>O36+P36</f>
        <v>248.86411199999998</v>
      </c>
      <c r="R36" s="17">
        <f>VLOOKUP(K36,Credito1,2)</f>
        <v>125.1</v>
      </c>
      <c r="S36" s="17">
        <f>Q36-R36</f>
        <v>123.76411199999998</v>
      </c>
      <c r="T36" s="19"/>
      <c r="U36" s="15">
        <f>-IF(S36&gt;0,0,S36)</f>
        <v>0</v>
      </c>
      <c r="V36" s="20">
        <f>IF(S36&lt;0,0,S36)</f>
        <v>123.76411199999998</v>
      </c>
      <c r="W36" s="21">
        <v>0</v>
      </c>
      <c r="X36" s="15">
        <f>SUM(V36:W36)</f>
        <v>123.76411199999998</v>
      </c>
      <c r="Y36" s="22">
        <f>H36+U36-X36</f>
        <v>3120.2358880000002</v>
      </c>
    </row>
    <row r="37" spans="1:25" s="23" customFormat="1" x14ac:dyDescent="0.25">
      <c r="A37" s="121"/>
      <c r="B37" s="28" t="s">
        <v>90</v>
      </c>
      <c r="C37" s="12"/>
      <c r="D37" s="11"/>
      <c r="E37" s="13"/>
      <c r="F37" s="27"/>
      <c r="G37" s="15"/>
      <c r="H37" s="15"/>
      <c r="I37" s="16"/>
      <c r="J37" s="17"/>
      <c r="K37" s="17"/>
      <c r="L37" s="17"/>
      <c r="M37" s="17"/>
      <c r="N37" s="18"/>
      <c r="O37" s="17"/>
      <c r="P37" s="17"/>
      <c r="Q37" s="17"/>
      <c r="R37" s="17"/>
      <c r="S37" s="17"/>
      <c r="T37" s="19"/>
      <c r="U37" s="15"/>
      <c r="V37" s="20"/>
      <c r="W37" s="21"/>
      <c r="X37" s="15"/>
      <c r="Y37" s="22"/>
    </row>
    <row r="38" spans="1:25" s="23" customFormat="1" x14ac:dyDescent="0.25">
      <c r="A38" s="121">
        <v>23</v>
      </c>
      <c r="B38" s="12" t="s">
        <v>91</v>
      </c>
      <c r="C38" s="12" t="s">
        <v>92</v>
      </c>
      <c r="D38" s="11">
        <v>15</v>
      </c>
      <c r="E38" s="13">
        <f t="shared" si="28"/>
        <v>171.66666666666666</v>
      </c>
      <c r="F38" s="27">
        <v>2575</v>
      </c>
      <c r="G38" s="15">
        <v>0</v>
      </c>
      <c r="H38" s="15">
        <f t="shared" si="29"/>
        <v>2575</v>
      </c>
      <c r="I38" s="16"/>
      <c r="J38" s="17">
        <v>0</v>
      </c>
      <c r="K38" s="17">
        <f>H38+J38</f>
        <v>2575</v>
      </c>
      <c r="L38" s="17">
        <f>VLOOKUP(K38,Tarifa1,1)</f>
        <v>2077.5100000000002</v>
      </c>
      <c r="M38" s="17">
        <f>K38-L38</f>
        <v>497.48999999999978</v>
      </c>
      <c r="N38" s="18">
        <f>VLOOKUP(K38,Tarifa1,3)</f>
        <v>0.10879999999999999</v>
      </c>
      <c r="O38" s="17">
        <f>M38*N38</f>
        <v>54.126911999999976</v>
      </c>
      <c r="P38" s="17">
        <f>VLOOKUP(K38,Tarifa1,2)</f>
        <v>121.95</v>
      </c>
      <c r="Q38" s="17">
        <f>O38+P38</f>
        <v>176.07691199999999</v>
      </c>
      <c r="R38" s="17">
        <f>VLOOKUP(K38,Credito1,2)</f>
        <v>160.35</v>
      </c>
      <c r="S38" s="17">
        <f>Q38-R38</f>
        <v>15.726911999999999</v>
      </c>
      <c r="T38" s="19"/>
      <c r="U38" s="15">
        <f>-IF(S38&gt;0,0,S38)</f>
        <v>0</v>
      </c>
      <c r="V38" s="20">
        <f>IF(S38&lt;0,0,S38)</f>
        <v>15.726911999999999</v>
      </c>
      <c r="W38" s="21">
        <v>0</v>
      </c>
      <c r="X38" s="15">
        <f>SUM(V38:W38)</f>
        <v>15.726911999999999</v>
      </c>
      <c r="Y38" s="22">
        <f>H38+U38-X38</f>
        <v>2559.2730879999999</v>
      </c>
    </row>
    <row r="39" spans="1:25" s="23" customFormat="1" x14ac:dyDescent="0.25">
      <c r="A39" s="121"/>
      <c r="B39" s="28" t="s">
        <v>93</v>
      </c>
      <c r="C39" s="12"/>
      <c r="D39" s="11"/>
      <c r="E39" s="13"/>
      <c r="F39" s="27"/>
      <c r="G39" s="15"/>
      <c r="H39" s="15"/>
      <c r="I39" s="16"/>
      <c r="J39" s="17"/>
      <c r="K39" s="17"/>
      <c r="L39" s="17"/>
      <c r="M39" s="17"/>
      <c r="N39" s="18"/>
      <c r="O39" s="17"/>
      <c r="P39" s="17"/>
      <c r="Q39" s="17"/>
      <c r="R39" s="17"/>
      <c r="S39" s="17"/>
      <c r="T39" s="19"/>
      <c r="U39" s="15"/>
      <c r="V39" s="20"/>
      <c r="W39" s="21"/>
      <c r="X39" s="15"/>
      <c r="Y39" s="22"/>
    </row>
    <row r="40" spans="1:25" s="23" customFormat="1" ht="26.25" x14ac:dyDescent="0.25">
      <c r="A40" s="121">
        <v>24</v>
      </c>
      <c r="B40" s="12" t="s">
        <v>94</v>
      </c>
      <c r="C40" s="12" t="s">
        <v>95</v>
      </c>
      <c r="D40" s="11">
        <v>15</v>
      </c>
      <c r="E40" s="13">
        <f t="shared" si="28"/>
        <v>222.73333333333332</v>
      </c>
      <c r="F40" s="27">
        <v>3341</v>
      </c>
      <c r="G40" s="15">
        <v>0</v>
      </c>
      <c r="H40" s="15">
        <f t="shared" si="29"/>
        <v>3341</v>
      </c>
      <c r="I40" s="16"/>
      <c r="J40" s="17">
        <v>0</v>
      </c>
      <c r="K40" s="17">
        <f>H40+J40</f>
        <v>3341</v>
      </c>
      <c r="L40" s="17">
        <f>VLOOKUP(K40,Tarifa1,1)</f>
        <v>2077.5100000000002</v>
      </c>
      <c r="M40" s="17">
        <f>K40-L40</f>
        <v>1263.4899999999998</v>
      </c>
      <c r="N40" s="18">
        <f>VLOOKUP(K40,Tarifa1,3)</f>
        <v>0.10879999999999999</v>
      </c>
      <c r="O40" s="17">
        <f>M40*N40</f>
        <v>137.46771199999998</v>
      </c>
      <c r="P40" s="17">
        <f>VLOOKUP(K40,Tarifa1,2)</f>
        <v>121.95</v>
      </c>
      <c r="Q40" s="17">
        <f>O40+P40</f>
        <v>259.41771199999999</v>
      </c>
      <c r="R40" s="17">
        <f>VLOOKUP(K40,Credito1,2)</f>
        <v>125.1</v>
      </c>
      <c r="S40" s="17">
        <f>Q40-R40</f>
        <v>134.317712</v>
      </c>
      <c r="T40" s="19"/>
      <c r="U40" s="15">
        <f>-IF(S40&gt;0,0,S40)</f>
        <v>0</v>
      </c>
      <c r="V40" s="20">
        <f>IF(S40&lt;0,0,S40)</f>
        <v>134.317712</v>
      </c>
      <c r="W40" s="21">
        <v>0</v>
      </c>
      <c r="X40" s="15">
        <f>SUM(V40:W40)</f>
        <v>134.317712</v>
      </c>
      <c r="Y40" s="22">
        <f>H40+U40-X40</f>
        <v>3206.682288</v>
      </c>
    </row>
    <row r="41" spans="1:25" s="23" customFormat="1" ht="26.25" x14ac:dyDescent="0.25">
      <c r="A41" s="121">
        <v>25</v>
      </c>
      <c r="B41" s="12" t="s">
        <v>96</v>
      </c>
      <c r="C41" s="12" t="s">
        <v>97</v>
      </c>
      <c r="D41" s="11">
        <v>15</v>
      </c>
      <c r="E41" s="13">
        <f t="shared" si="28"/>
        <v>242.52799999999999</v>
      </c>
      <c r="F41" s="27">
        <v>3637.92</v>
      </c>
      <c r="G41" s="15">
        <v>0</v>
      </c>
      <c r="H41" s="15">
        <f t="shared" si="29"/>
        <v>3637.92</v>
      </c>
      <c r="I41" s="16"/>
      <c r="J41" s="17">
        <v>0</v>
      </c>
      <c r="K41" s="17">
        <f>H41+J41</f>
        <v>3637.92</v>
      </c>
      <c r="L41" s="17">
        <f>VLOOKUP(K41,Tarifa1,1)</f>
        <v>2077.5100000000002</v>
      </c>
      <c r="M41" s="17">
        <f>K41-L41</f>
        <v>1560.4099999999999</v>
      </c>
      <c r="N41" s="18">
        <f>VLOOKUP(K41,Tarifa1,3)</f>
        <v>0.10879999999999999</v>
      </c>
      <c r="O41" s="17">
        <f>M41*N41</f>
        <v>169.77260799999996</v>
      </c>
      <c r="P41" s="17">
        <f>VLOOKUP(K41,Tarifa1,2)</f>
        <v>121.95</v>
      </c>
      <c r="Q41" s="17">
        <f>O41+P41</f>
        <v>291.72260799999998</v>
      </c>
      <c r="R41" s="17">
        <f>VLOOKUP(K41,Credito1,2)</f>
        <v>107.4</v>
      </c>
      <c r="S41" s="17">
        <f>Q41-R41</f>
        <v>184.32260799999997</v>
      </c>
      <c r="T41" s="19"/>
      <c r="U41" s="15">
        <f>-IF(S41&gt;0,0,S41)</f>
        <v>0</v>
      </c>
      <c r="V41" s="20">
        <f>IF(S41&lt;0,0,S41)</f>
        <v>184.32260799999997</v>
      </c>
      <c r="W41" s="21">
        <v>0</v>
      </c>
      <c r="X41" s="15">
        <f>SUM(V41:W41)</f>
        <v>184.32260799999997</v>
      </c>
      <c r="Y41" s="22">
        <f>H41+U41-X41</f>
        <v>3453.5973920000001</v>
      </c>
    </row>
    <row r="42" spans="1:25" s="23" customFormat="1" x14ac:dyDescent="0.25">
      <c r="A42" s="121"/>
      <c r="B42" s="28" t="s">
        <v>98</v>
      </c>
      <c r="C42" s="12"/>
      <c r="D42" s="11"/>
      <c r="E42" s="13"/>
      <c r="F42" s="27"/>
      <c r="G42" s="15"/>
      <c r="H42" s="15"/>
      <c r="I42" s="16"/>
      <c r="J42" s="17"/>
      <c r="K42" s="17"/>
      <c r="L42" s="17"/>
      <c r="M42" s="17"/>
      <c r="N42" s="18"/>
      <c r="O42" s="17"/>
      <c r="P42" s="17"/>
      <c r="Q42" s="17"/>
      <c r="R42" s="17"/>
      <c r="S42" s="17"/>
      <c r="T42" s="19"/>
      <c r="U42" s="15"/>
      <c r="V42" s="20"/>
      <c r="W42" s="21"/>
      <c r="X42" s="15"/>
      <c r="Y42" s="22"/>
    </row>
    <row r="43" spans="1:25" s="23" customFormat="1" ht="26.25" x14ac:dyDescent="0.25">
      <c r="A43" s="121">
        <v>26</v>
      </c>
      <c r="B43" s="12" t="s">
        <v>99</v>
      </c>
      <c r="C43" s="12" t="s">
        <v>100</v>
      </c>
      <c r="D43" s="11">
        <v>15</v>
      </c>
      <c r="E43" s="13">
        <f t="shared" si="28"/>
        <v>216.26666666666668</v>
      </c>
      <c r="F43" s="27">
        <v>3244</v>
      </c>
      <c r="G43" s="15">
        <v>0</v>
      </c>
      <c r="H43" s="15">
        <f t="shared" si="29"/>
        <v>3244</v>
      </c>
      <c r="I43" s="16"/>
      <c r="J43" s="17">
        <v>0</v>
      </c>
      <c r="K43" s="17">
        <f>H43+J43</f>
        <v>3244</v>
      </c>
      <c r="L43" s="17">
        <f>VLOOKUP(K43,Tarifa1,1)</f>
        <v>2077.5100000000002</v>
      </c>
      <c r="M43" s="17">
        <f>K43-L43</f>
        <v>1166.4899999999998</v>
      </c>
      <c r="N43" s="18">
        <f>VLOOKUP(K43,Tarifa1,3)</f>
        <v>0.10879999999999999</v>
      </c>
      <c r="O43" s="17">
        <f>M43*N43</f>
        <v>126.91411199999997</v>
      </c>
      <c r="P43" s="17">
        <f>VLOOKUP(K43,Tarifa1,2)</f>
        <v>121.95</v>
      </c>
      <c r="Q43" s="17">
        <f>O43+P43</f>
        <v>248.86411199999998</v>
      </c>
      <c r="R43" s="17">
        <f>VLOOKUP(K43,Credito1,2)</f>
        <v>125.1</v>
      </c>
      <c r="S43" s="17">
        <f>Q43-R43</f>
        <v>123.76411199999998</v>
      </c>
      <c r="T43" s="19"/>
      <c r="U43" s="15">
        <f>-IF(S43&gt;0,0,S43)</f>
        <v>0</v>
      </c>
      <c r="V43" s="20">
        <f>IF(S43&lt;0,0,S43)</f>
        <v>123.76411199999998</v>
      </c>
      <c r="W43" s="21">
        <v>0</v>
      </c>
      <c r="X43" s="15">
        <f>SUM(V43:W43)</f>
        <v>123.76411199999998</v>
      </c>
      <c r="Y43" s="22">
        <f>H43+U43-X43</f>
        <v>3120.2358880000002</v>
      </c>
    </row>
    <row r="44" spans="1:25" s="23" customFormat="1" x14ac:dyDescent="0.25">
      <c r="A44" s="123"/>
      <c r="B44" s="34" t="s">
        <v>59</v>
      </c>
      <c r="C44" s="34"/>
      <c r="D44" s="35"/>
      <c r="E44" s="35"/>
      <c r="F44" s="35"/>
      <c r="G44" s="35"/>
      <c r="H44" s="35"/>
      <c r="I44" s="36"/>
      <c r="J44" s="35"/>
      <c r="K44" s="35"/>
      <c r="L44" s="35"/>
      <c r="M44" s="35"/>
      <c r="N44" s="35"/>
      <c r="O44" s="35"/>
      <c r="P44" s="35"/>
      <c r="Q44" s="35"/>
      <c r="R44" s="35"/>
      <c r="S44" s="36"/>
      <c r="T44" s="36"/>
      <c r="U44" s="35"/>
      <c r="V44" s="35"/>
      <c r="W44" s="35"/>
      <c r="X44" s="35"/>
      <c r="Y44" s="35"/>
    </row>
    <row r="45" spans="1:25" s="23" customFormat="1" x14ac:dyDescent="0.25">
      <c r="A45" s="122"/>
      <c r="B45" s="25" t="s">
        <v>60</v>
      </c>
      <c r="C45" s="25"/>
      <c r="D45" s="24"/>
      <c r="E45" s="24"/>
      <c r="F45" s="24"/>
      <c r="G45" s="24"/>
      <c r="H45" s="24"/>
      <c r="I45" s="26"/>
      <c r="J45" s="24"/>
      <c r="K45" s="24"/>
      <c r="L45" s="24"/>
      <c r="M45" s="24"/>
      <c r="N45" s="24"/>
      <c r="O45" s="24"/>
      <c r="P45" s="24"/>
      <c r="Q45" s="24"/>
      <c r="R45" s="24"/>
      <c r="S45" s="26"/>
      <c r="T45" s="26"/>
      <c r="U45" s="24"/>
      <c r="V45" s="24"/>
      <c r="W45" s="24"/>
      <c r="X45" s="24"/>
      <c r="Y45" s="24"/>
    </row>
    <row r="46" spans="1:25" s="23" customFormat="1" x14ac:dyDescent="0.25">
      <c r="A46" s="121">
        <v>27</v>
      </c>
      <c r="B46" s="12" t="s">
        <v>61</v>
      </c>
      <c r="C46" s="12" t="s">
        <v>62</v>
      </c>
      <c r="D46" s="11">
        <v>15</v>
      </c>
      <c r="E46" s="13">
        <f>F46/15</f>
        <v>1243.0319999999999</v>
      </c>
      <c r="F46" s="27">
        <v>18645.48</v>
      </c>
      <c r="G46" s="15">
        <v>0</v>
      </c>
      <c r="H46" s="15">
        <f>TRUNC(SUM(D46*E46)+G46,2)</f>
        <v>18645.48</v>
      </c>
      <c r="I46" s="16"/>
      <c r="J46" s="17">
        <v>0</v>
      </c>
      <c r="K46" s="17">
        <f t="shared" ref="K46:K51" si="30">H46+J46</f>
        <v>18645.48</v>
      </c>
      <c r="L46" s="17">
        <f t="shared" ref="L46:L51" si="31">IF(H46=0,0,VLOOKUP(K46,Tarifa1,1))</f>
        <v>16153.06</v>
      </c>
      <c r="M46" s="17">
        <f t="shared" ref="M46:M51" si="32">K46-L46</f>
        <v>2492.42</v>
      </c>
      <c r="N46" s="18">
        <f t="shared" ref="N46:N51" si="33">VLOOKUP(K46,Tarifa1,3)</f>
        <v>0.3</v>
      </c>
      <c r="O46" s="17">
        <f t="shared" ref="O46:O51" si="34">M46*N46</f>
        <v>747.726</v>
      </c>
      <c r="P46" s="17">
        <f t="shared" ref="P46:P51" si="35">VLOOKUP(K46,Tarifa1,2)</f>
        <v>3030.6</v>
      </c>
      <c r="Q46" s="17">
        <f t="shared" ref="Q46:Q51" si="36">O46+P46</f>
        <v>3778.326</v>
      </c>
      <c r="R46" s="17">
        <f t="shared" ref="R46:R51" si="37">VLOOKUP(K46,Credito1,2)</f>
        <v>0</v>
      </c>
      <c r="S46" s="17">
        <f t="shared" ref="S46:S51" si="38">Q46-R46</f>
        <v>3778.326</v>
      </c>
      <c r="T46" s="19"/>
      <c r="U46" s="15">
        <f t="shared" ref="U46:U51" si="39">-IF(S46&gt;0,0,S46)</f>
        <v>0</v>
      </c>
      <c r="V46" s="20">
        <f t="shared" ref="V46:V51" si="40">IF(S46&lt;0,0,S46)</f>
        <v>3778.326</v>
      </c>
      <c r="W46" s="21">
        <v>0</v>
      </c>
      <c r="X46" s="15">
        <f t="shared" ref="X46:X51" si="41">SUM(V46:W46)</f>
        <v>3778.326</v>
      </c>
      <c r="Y46" s="22">
        <f t="shared" ref="Y46:Y51" si="42">H46+U46-X46</f>
        <v>14867.153999999999</v>
      </c>
    </row>
    <row r="47" spans="1:25" s="23" customFormat="1" ht="26.25" x14ac:dyDescent="0.25">
      <c r="A47" s="121">
        <v>28</v>
      </c>
      <c r="B47" s="12" t="s">
        <v>63</v>
      </c>
      <c r="C47" s="12" t="s">
        <v>64</v>
      </c>
      <c r="D47" s="11">
        <v>15</v>
      </c>
      <c r="E47" s="13">
        <f t="shared" ref="E47:E69" si="43">F47/15</f>
        <v>333.33333333333331</v>
      </c>
      <c r="F47" s="27">
        <v>5000</v>
      </c>
      <c r="G47" s="15">
        <v>0</v>
      </c>
      <c r="H47" s="15">
        <f t="shared" ref="H47:H69" si="44">TRUNC(SUM(D47*E47)+G47,2)</f>
        <v>5000</v>
      </c>
      <c r="I47" s="16"/>
      <c r="J47" s="17">
        <v>0</v>
      </c>
      <c r="K47" s="17">
        <f t="shared" si="30"/>
        <v>5000</v>
      </c>
      <c r="L47" s="17">
        <f t="shared" si="31"/>
        <v>4244.1099999999997</v>
      </c>
      <c r="M47" s="17">
        <f t="shared" si="32"/>
        <v>755.89000000000033</v>
      </c>
      <c r="N47" s="18">
        <f t="shared" si="33"/>
        <v>0.1792</v>
      </c>
      <c r="O47" s="17">
        <f t="shared" si="34"/>
        <v>135.45548800000006</v>
      </c>
      <c r="P47" s="17">
        <f t="shared" si="35"/>
        <v>388.05</v>
      </c>
      <c r="Q47" s="17">
        <f t="shared" si="36"/>
        <v>523.50548800000001</v>
      </c>
      <c r="R47" s="17">
        <f t="shared" si="37"/>
        <v>0</v>
      </c>
      <c r="S47" s="17">
        <f t="shared" si="38"/>
        <v>523.50548800000001</v>
      </c>
      <c r="T47" s="19"/>
      <c r="U47" s="15">
        <f t="shared" si="39"/>
        <v>0</v>
      </c>
      <c r="V47" s="20">
        <f t="shared" si="40"/>
        <v>523.50548800000001</v>
      </c>
      <c r="W47" s="21">
        <v>0</v>
      </c>
      <c r="X47" s="15">
        <f t="shared" si="41"/>
        <v>523.50548800000001</v>
      </c>
      <c r="Y47" s="22">
        <f t="shared" si="42"/>
        <v>4476.4945120000002</v>
      </c>
    </row>
    <row r="48" spans="1:25" s="23" customFormat="1" x14ac:dyDescent="0.25">
      <c r="A48" s="121">
        <v>29</v>
      </c>
      <c r="B48" s="12" t="s">
        <v>65</v>
      </c>
      <c r="C48" s="12" t="s">
        <v>66</v>
      </c>
      <c r="D48" s="11">
        <v>15</v>
      </c>
      <c r="E48" s="13">
        <f t="shared" si="43"/>
        <v>123.53333333333333</v>
      </c>
      <c r="F48" s="27">
        <v>1853</v>
      </c>
      <c r="G48" s="15">
        <v>0</v>
      </c>
      <c r="H48" s="15">
        <f t="shared" si="44"/>
        <v>1853</v>
      </c>
      <c r="I48" s="16"/>
      <c r="J48" s="17">
        <v>0</v>
      </c>
      <c r="K48" s="17">
        <f t="shared" si="30"/>
        <v>1853</v>
      </c>
      <c r="L48" s="17">
        <f t="shared" si="31"/>
        <v>244.81</v>
      </c>
      <c r="M48" s="17">
        <f t="shared" si="32"/>
        <v>1608.19</v>
      </c>
      <c r="N48" s="18">
        <f t="shared" si="33"/>
        <v>6.4000000000000001E-2</v>
      </c>
      <c r="O48" s="17">
        <f t="shared" si="34"/>
        <v>102.92416</v>
      </c>
      <c r="P48" s="17">
        <f t="shared" si="35"/>
        <v>4.6500000000000004</v>
      </c>
      <c r="Q48" s="17">
        <f t="shared" si="36"/>
        <v>107.57416000000001</v>
      </c>
      <c r="R48" s="17">
        <f t="shared" si="37"/>
        <v>188.7</v>
      </c>
      <c r="S48" s="17">
        <f t="shared" si="38"/>
        <v>-81.125839999999982</v>
      </c>
      <c r="T48" s="19"/>
      <c r="U48" s="15">
        <f t="shared" si="39"/>
        <v>81.125839999999982</v>
      </c>
      <c r="V48" s="20">
        <f t="shared" si="40"/>
        <v>0</v>
      </c>
      <c r="W48" s="21">
        <v>0</v>
      </c>
      <c r="X48" s="15">
        <f t="shared" si="41"/>
        <v>0</v>
      </c>
      <c r="Y48" s="22">
        <f t="shared" si="42"/>
        <v>1934.1258399999999</v>
      </c>
    </row>
    <row r="49" spans="1:25" s="23" customFormat="1" x14ac:dyDescent="0.25">
      <c r="A49" s="121">
        <v>30</v>
      </c>
      <c r="B49" s="12" t="s">
        <v>67</v>
      </c>
      <c r="C49" s="12" t="s">
        <v>68</v>
      </c>
      <c r="D49" s="11">
        <v>15</v>
      </c>
      <c r="E49" s="13">
        <f t="shared" si="43"/>
        <v>204.2</v>
      </c>
      <c r="F49" s="27">
        <v>3063</v>
      </c>
      <c r="G49" s="15">
        <v>0</v>
      </c>
      <c r="H49" s="15">
        <f t="shared" si="44"/>
        <v>3063</v>
      </c>
      <c r="I49" s="16"/>
      <c r="J49" s="17">
        <v>0</v>
      </c>
      <c r="K49" s="17">
        <f t="shared" si="30"/>
        <v>3063</v>
      </c>
      <c r="L49" s="17">
        <f t="shared" si="31"/>
        <v>2077.5100000000002</v>
      </c>
      <c r="M49" s="17">
        <f t="shared" si="32"/>
        <v>985.48999999999978</v>
      </c>
      <c r="N49" s="18">
        <f t="shared" si="33"/>
        <v>0.10879999999999999</v>
      </c>
      <c r="O49" s="17">
        <f t="shared" si="34"/>
        <v>107.22131199999997</v>
      </c>
      <c r="P49" s="17">
        <f t="shared" si="35"/>
        <v>121.95</v>
      </c>
      <c r="Q49" s="17">
        <f t="shared" si="36"/>
        <v>229.17131199999997</v>
      </c>
      <c r="R49" s="17">
        <f t="shared" si="37"/>
        <v>145.35</v>
      </c>
      <c r="S49" s="17">
        <f t="shared" si="38"/>
        <v>83.821311999999978</v>
      </c>
      <c r="T49" s="19"/>
      <c r="U49" s="15">
        <f t="shared" si="39"/>
        <v>0</v>
      </c>
      <c r="V49" s="20">
        <f t="shared" si="40"/>
        <v>83.821311999999978</v>
      </c>
      <c r="W49" s="21">
        <v>0</v>
      </c>
      <c r="X49" s="15">
        <f t="shared" si="41"/>
        <v>83.821311999999978</v>
      </c>
      <c r="Y49" s="22">
        <f t="shared" si="42"/>
        <v>2979.178688</v>
      </c>
    </row>
    <row r="50" spans="1:25" s="23" customFormat="1" x14ac:dyDescent="0.25">
      <c r="A50" s="121">
        <v>31</v>
      </c>
      <c r="B50" s="12" t="s">
        <v>69</v>
      </c>
      <c r="C50" s="12" t="s">
        <v>70</v>
      </c>
      <c r="D50" s="11">
        <v>15</v>
      </c>
      <c r="E50" s="13">
        <f t="shared" si="43"/>
        <v>109.6</v>
      </c>
      <c r="F50" s="27">
        <v>1644</v>
      </c>
      <c r="G50" s="15">
        <v>0</v>
      </c>
      <c r="H50" s="15">
        <f t="shared" si="44"/>
        <v>1644</v>
      </c>
      <c r="I50" s="16"/>
      <c r="J50" s="17">
        <v>0</v>
      </c>
      <c r="K50" s="17">
        <f t="shared" si="30"/>
        <v>1644</v>
      </c>
      <c r="L50" s="17">
        <f t="shared" si="31"/>
        <v>244.81</v>
      </c>
      <c r="M50" s="17">
        <f t="shared" si="32"/>
        <v>1399.19</v>
      </c>
      <c r="N50" s="18">
        <f t="shared" si="33"/>
        <v>6.4000000000000001E-2</v>
      </c>
      <c r="O50" s="17">
        <f t="shared" si="34"/>
        <v>89.54816000000001</v>
      </c>
      <c r="P50" s="17">
        <f t="shared" si="35"/>
        <v>4.6500000000000004</v>
      </c>
      <c r="Q50" s="17">
        <f t="shared" si="36"/>
        <v>94.198160000000016</v>
      </c>
      <c r="R50" s="17">
        <f t="shared" si="37"/>
        <v>200.7</v>
      </c>
      <c r="S50" s="17">
        <f t="shared" si="38"/>
        <v>-106.50183999999997</v>
      </c>
      <c r="T50" s="19"/>
      <c r="U50" s="15">
        <f t="shared" si="39"/>
        <v>106.50183999999997</v>
      </c>
      <c r="V50" s="20">
        <f t="shared" si="40"/>
        <v>0</v>
      </c>
      <c r="W50" s="21">
        <v>0</v>
      </c>
      <c r="X50" s="15">
        <f t="shared" si="41"/>
        <v>0</v>
      </c>
      <c r="Y50" s="22">
        <f t="shared" si="42"/>
        <v>1750.5018399999999</v>
      </c>
    </row>
    <row r="51" spans="1:25" s="23" customFormat="1" x14ac:dyDescent="0.25">
      <c r="A51" s="121">
        <v>32</v>
      </c>
      <c r="B51" s="12" t="s">
        <v>71</v>
      </c>
      <c r="C51" s="12" t="s">
        <v>72</v>
      </c>
      <c r="D51" s="11">
        <v>15</v>
      </c>
      <c r="E51" s="13">
        <f t="shared" si="43"/>
        <v>102.13333333333334</v>
      </c>
      <c r="F51" s="27">
        <v>1532</v>
      </c>
      <c r="G51" s="15">
        <v>0</v>
      </c>
      <c r="H51" s="15">
        <f t="shared" si="44"/>
        <v>1532</v>
      </c>
      <c r="I51" s="16"/>
      <c r="J51" s="17">
        <v>0</v>
      </c>
      <c r="K51" s="17">
        <f t="shared" si="30"/>
        <v>1532</v>
      </c>
      <c r="L51" s="17">
        <f t="shared" si="31"/>
        <v>244.81</v>
      </c>
      <c r="M51" s="17">
        <f t="shared" si="32"/>
        <v>1287.19</v>
      </c>
      <c r="N51" s="18">
        <f t="shared" si="33"/>
        <v>6.4000000000000001E-2</v>
      </c>
      <c r="O51" s="17">
        <f t="shared" si="34"/>
        <v>82.380160000000004</v>
      </c>
      <c r="P51" s="17">
        <f t="shared" si="35"/>
        <v>4.6500000000000004</v>
      </c>
      <c r="Q51" s="17">
        <f t="shared" si="36"/>
        <v>87.030160000000009</v>
      </c>
      <c r="R51" s="17">
        <f t="shared" si="37"/>
        <v>200.7</v>
      </c>
      <c r="S51" s="17">
        <f t="shared" si="38"/>
        <v>-113.66983999999998</v>
      </c>
      <c r="T51" s="19"/>
      <c r="U51" s="15">
        <f t="shared" si="39"/>
        <v>113.66983999999998</v>
      </c>
      <c r="V51" s="20">
        <f t="shared" si="40"/>
        <v>0</v>
      </c>
      <c r="W51" s="21">
        <v>0</v>
      </c>
      <c r="X51" s="15">
        <f t="shared" si="41"/>
        <v>0</v>
      </c>
      <c r="Y51" s="22">
        <f t="shared" si="42"/>
        <v>1645.66984</v>
      </c>
    </row>
    <row r="52" spans="1:25" s="23" customFormat="1" x14ac:dyDescent="0.25">
      <c r="A52" s="121"/>
      <c r="B52" s="28" t="s">
        <v>73</v>
      </c>
      <c r="C52" s="29"/>
      <c r="D52" s="30"/>
      <c r="E52" s="15"/>
      <c r="F52" s="16"/>
      <c r="G52" s="31"/>
      <c r="H52" s="31"/>
      <c r="I52" s="17"/>
      <c r="J52" s="17"/>
      <c r="K52" s="18"/>
      <c r="L52" s="17"/>
      <c r="M52" s="17"/>
      <c r="N52" s="17"/>
      <c r="O52" s="17"/>
      <c r="P52" s="17"/>
      <c r="Q52" s="19"/>
      <c r="R52" s="15"/>
      <c r="S52" s="20"/>
      <c r="T52" s="21"/>
      <c r="U52" s="15"/>
      <c r="V52" s="22"/>
      <c r="W52" s="21"/>
      <c r="X52" s="15"/>
      <c r="Y52" s="22"/>
    </row>
    <row r="53" spans="1:25" s="23" customFormat="1" ht="26.25" x14ac:dyDescent="0.25">
      <c r="A53" s="121">
        <v>33</v>
      </c>
      <c r="B53" s="12" t="s">
        <v>74</v>
      </c>
      <c r="C53" s="12" t="s">
        <v>75</v>
      </c>
      <c r="D53" s="11">
        <v>15</v>
      </c>
      <c r="E53" s="13">
        <f t="shared" si="43"/>
        <v>555.20000000000005</v>
      </c>
      <c r="F53" s="27">
        <v>8328</v>
      </c>
      <c r="G53" s="15">
        <v>0</v>
      </c>
      <c r="H53" s="15">
        <f t="shared" si="44"/>
        <v>8328</v>
      </c>
      <c r="I53" s="16"/>
      <c r="J53" s="17">
        <v>0</v>
      </c>
      <c r="K53" s="17">
        <f>H53+J53</f>
        <v>8328</v>
      </c>
      <c r="L53" s="17">
        <f>IF(H53=0,0,VLOOKUP(K53,Tarifa1,1))</f>
        <v>5081.41</v>
      </c>
      <c r="M53" s="17">
        <f>K53-L53</f>
        <v>3246.59</v>
      </c>
      <c r="N53" s="18">
        <f>VLOOKUP(K53,Tarifa1,3)</f>
        <v>0.21360000000000001</v>
      </c>
      <c r="O53" s="17">
        <f>M53*N53</f>
        <v>693.47162400000002</v>
      </c>
      <c r="P53" s="17">
        <f>VLOOKUP(K53,Tarifa1,2)</f>
        <v>538.20000000000005</v>
      </c>
      <c r="Q53" s="17">
        <f>O53+P53</f>
        <v>1231.6716240000001</v>
      </c>
      <c r="R53" s="17">
        <f>VLOOKUP(K53,Credito1,2)</f>
        <v>0</v>
      </c>
      <c r="S53" s="17">
        <f>Q53-R53</f>
        <v>1231.6716240000001</v>
      </c>
      <c r="T53" s="19"/>
      <c r="U53" s="15">
        <f>-IF(S53&gt;0,0,S53)</f>
        <v>0</v>
      </c>
      <c r="V53" s="20">
        <f>IF(S53&lt;0,0,S53)</f>
        <v>1231.6716240000001</v>
      </c>
      <c r="W53" s="21">
        <v>0</v>
      </c>
      <c r="X53" s="15">
        <f>SUM(V53:W53)</f>
        <v>1231.6716240000001</v>
      </c>
      <c r="Y53" s="22">
        <f>H53+U53-X53</f>
        <v>7096.3283759999995</v>
      </c>
    </row>
    <row r="54" spans="1:25" s="23" customFormat="1" x14ac:dyDescent="0.25">
      <c r="A54" s="121"/>
      <c r="B54" s="28" t="s">
        <v>76</v>
      </c>
      <c r="C54" s="12"/>
      <c r="D54" s="11"/>
      <c r="E54" s="13"/>
      <c r="F54" s="27"/>
      <c r="G54" s="15"/>
      <c r="H54" s="15"/>
      <c r="I54" s="16"/>
      <c r="J54" s="17"/>
      <c r="K54" s="17"/>
      <c r="L54" s="17"/>
      <c r="M54" s="17"/>
      <c r="N54" s="18"/>
      <c r="O54" s="17"/>
      <c r="P54" s="17"/>
      <c r="Q54" s="17"/>
      <c r="R54" s="17"/>
      <c r="S54" s="17"/>
      <c r="T54" s="19"/>
      <c r="U54" s="15"/>
      <c r="V54" s="20"/>
      <c r="W54" s="21"/>
      <c r="X54" s="15"/>
      <c r="Y54" s="22"/>
    </row>
    <row r="55" spans="1:25" s="23" customFormat="1" ht="29.25" x14ac:dyDescent="0.25">
      <c r="A55" s="121">
        <v>34</v>
      </c>
      <c r="B55" s="32" t="s">
        <v>77</v>
      </c>
      <c r="C55" s="12" t="s">
        <v>78</v>
      </c>
      <c r="D55" s="11">
        <v>15</v>
      </c>
      <c r="E55" s="13">
        <f>F55/15</f>
        <v>123.53333333333333</v>
      </c>
      <c r="F55" s="27">
        <v>1853</v>
      </c>
      <c r="G55" s="15">
        <v>0</v>
      </c>
      <c r="H55" s="15">
        <f>TRUNC(SUM(D55*E55)+G55,2)</f>
        <v>1853</v>
      </c>
      <c r="I55" s="16"/>
      <c r="J55" s="17">
        <v>0</v>
      </c>
      <c r="K55" s="17">
        <f>H55+J55</f>
        <v>1853</v>
      </c>
      <c r="L55" s="17">
        <f>IF(H55=0,0,VLOOKUP(K55,Tarifa1,1))</f>
        <v>244.81</v>
      </c>
      <c r="M55" s="17">
        <f>K55-L55</f>
        <v>1608.19</v>
      </c>
      <c r="N55" s="18">
        <f>VLOOKUP(K55,Tarifa1,3)</f>
        <v>6.4000000000000001E-2</v>
      </c>
      <c r="O55" s="17">
        <f>M55*N55</f>
        <v>102.92416</v>
      </c>
      <c r="P55" s="17">
        <f>VLOOKUP(K55,Tarifa1,2)</f>
        <v>4.6500000000000004</v>
      </c>
      <c r="Q55" s="17">
        <f>O55+P55</f>
        <v>107.57416000000001</v>
      </c>
      <c r="R55" s="17">
        <f>VLOOKUP(K55,Credito1,2)</f>
        <v>188.7</v>
      </c>
      <c r="S55" s="17">
        <f>Q55-R55</f>
        <v>-81.125839999999982</v>
      </c>
      <c r="T55" s="19"/>
      <c r="U55" s="15">
        <f>-IF(S55&gt;0,0,S55)</f>
        <v>81.125839999999982</v>
      </c>
      <c r="V55" s="20">
        <f>IF(S55&lt;0,0,S55)</f>
        <v>0</v>
      </c>
      <c r="W55" s="21">
        <v>0</v>
      </c>
      <c r="X55" s="15">
        <f>SUM(V55:W55)</f>
        <v>0</v>
      </c>
      <c r="Y55" s="22">
        <f>H55+U55-X55</f>
        <v>1934.1258399999999</v>
      </c>
    </row>
    <row r="56" spans="1:25" s="23" customFormat="1" x14ac:dyDescent="0.25">
      <c r="A56" s="121"/>
      <c r="B56" s="28" t="s">
        <v>79</v>
      </c>
      <c r="C56" s="12"/>
      <c r="D56" s="11"/>
      <c r="E56" s="13"/>
      <c r="F56" s="27"/>
      <c r="G56" s="15"/>
      <c r="H56" s="15"/>
      <c r="I56" s="16"/>
      <c r="J56" s="17"/>
      <c r="K56" s="17"/>
      <c r="L56" s="17"/>
      <c r="M56" s="17"/>
      <c r="N56" s="18"/>
      <c r="O56" s="17"/>
      <c r="P56" s="17"/>
      <c r="Q56" s="17"/>
      <c r="R56" s="17"/>
      <c r="S56" s="17"/>
      <c r="T56" s="19"/>
      <c r="U56" s="15"/>
      <c r="V56" s="20"/>
      <c r="W56" s="21"/>
      <c r="X56" s="15"/>
      <c r="Y56" s="22"/>
    </row>
    <row r="57" spans="1:25" s="23" customFormat="1" x14ac:dyDescent="0.25">
      <c r="A57" s="121">
        <v>35</v>
      </c>
      <c r="B57" s="12" t="s">
        <v>80</v>
      </c>
      <c r="C57" s="12" t="s">
        <v>81</v>
      </c>
      <c r="D57" s="11">
        <v>15</v>
      </c>
      <c r="E57" s="13">
        <f t="shared" si="43"/>
        <v>216.26666666666668</v>
      </c>
      <c r="F57" s="27">
        <v>3244</v>
      </c>
      <c r="G57" s="15">
        <v>0</v>
      </c>
      <c r="H57" s="15">
        <f t="shared" si="44"/>
        <v>3244</v>
      </c>
      <c r="I57" s="16"/>
      <c r="J57" s="17">
        <v>0</v>
      </c>
      <c r="K57" s="17">
        <f>H57+J57</f>
        <v>3244</v>
      </c>
      <c r="L57" s="17">
        <f>IF(H57=0,0,VLOOKUP(K57,Tarifa1,1))</f>
        <v>2077.5100000000002</v>
      </c>
      <c r="M57" s="17">
        <f>K57-L57</f>
        <v>1166.4899999999998</v>
      </c>
      <c r="N57" s="18">
        <f>VLOOKUP(K57,Tarifa1,3)</f>
        <v>0.10879999999999999</v>
      </c>
      <c r="O57" s="17">
        <f>M57*N57</f>
        <v>126.91411199999997</v>
      </c>
      <c r="P57" s="17">
        <f>VLOOKUP(K57,Tarifa1,2)</f>
        <v>121.95</v>
      </c>
      <c r="Q57" s="17">
        <f>O57+P57</f>
        <v>248.86411199999998</v>
      </c>
      <c r="R57" s="17">
        <f>VLOOKUP(K57,Credito1,2)</f>
        <v>125.1</v>
      </c>
      <c r="S57" s="17">
        <f>Q57-R57</f>
        <v>123.76411199999998</v>
      </c>
      <c r="T57" s="19"/>
      <c r="U57" s="15">
        <f>-IF(S57&gt;0,0,S57)</f>
        <v>0</v>
      </c>
      <c r="V57" s="20">
        <f>IF(S57&lt;0,0,S57)</f>
        <v>123.76411199999998</v>
      </c>
      <c r="W57" s="21">
        <v>0</v>
      </c>
      <c r="X57" s="15">
        <f>SUM(V57:W57)</f>
        <v>123.76411199999998</v>
      </c>
      <c r="Y57" s="22">
        <f>H57+U57-X57</f>
        <v>3120.2358880000002</v>
      </c>
    </row>
    <row r="58" spans="1:25" s="23" customFormat="1" ht="26.25" x14ac:dyDescent="0.25">
      <c r="A58" s="121">
        <v>36</v>
      </c>
      <c r="B58" s="12" t="s">
        <v>82</v>
      </c>
      <c r="C58" s="12" t="s">
        <v>83</v>
      </c>
      <c r="D58" s="11">
        <v>15</v>
      </c>
      <c r="E58" s="13">
        <f t="shared" si="43"/>
        <v>123.53333333333333</v>
      </c>
      <c r="F58" s="27">
        <v>1853</v>
      </c>
      <c r="G58" s="15">
        <v>0</v>
      </c>
      <c r="H58" s="15">
        <f t="shared" si="44"/>
        <v>1853</v>
      </c>
      <c r="I58" s="16"/>
      <c r="J58" s="17">
        <v>0</v>
      </c>
      <c r="K58" s="17">
        <f>H58+J58</f>
        <v>1853</v>
      </c>
      <c r="L58" s="17">
        <f>IF(H58=0,0,VLOOKUP(K58,Tarifa1,1))</f>
        <v>244.81</v>
      </c>
      <c r="M58" s="17">
        <f>K58-L58</f>
        <v>1608.19</v>
      </c>
      <c r="N58" s="18">
        <f>VLOOKUP(K58,Tarifa1,3)</f>
        <v>6.4000000000000001E-2</v>
      </c>
      <c r="O58" s="17">
        <f>M58*N58</f>
        <v>102.92416</v>
      </c>
      <c r="P58" s="17">
        <f>VLOOKUP(K58,Tarifa1,2)</f>
        <v>4.6500000000000004</v>
      </c>
      <c r="Q58" s="17">
        <f>O58+P58</f>
        <v>107.57416000000001</v>
      </c>
      <c r="R58" s="17">
        <f>VLOOKUP(K58,Credito1,2)</f>
        <v>188.7</v>
      </c>
      <c r="S58" s="17">
        <f>Q58-R58</f>
        <v>-81.125839999999982</v>
      </c>
      <c r="T58" s="19"/>
      <c r="U58" s="15">
        <f>-IF(S58&gt;0,0,S58)</f>
        <v>81.125839999999982</v>
      </c>
      <c r="V58" s="20">
        <f>IF(S58&lt;0,0,S58)</f>
        <v>0</v>
      </c>
      <c r="W58" s="21">
        <v>0</v>
      </c>
      <c r="X58" s="15">
        <f>SUM(V58:W58)</f>
        <v>0</v>
      </c>
      <c r="Y58" s="22">
        <f>H58+U58-X58</f>
        <v>1934.1258399999999</v>
      </c>
    </row>
    <row r="59" spans="1:25" s="23" customFormat="1" x14ac:dyDescent="0.25">
      <c r="A59" s="121"/>
      <c r="B59" s="28" t="s">
        <v>84</v>
      </c>
      <c r="C59" s="12"/>
      <c r="D59" s="11"/>
      <c r="E59" s="13"/>
      <c r="F59" s="27"/>
      <c r="G59" s="15"/>
      <c r="H59" s="15"/>
      <c r="I59" s="16"/>
      <c r="J59" s="17"/>
      <c r="K59" s="17"/>
      <c r="L59" s="17"/>
      <c r="M59" s="17"/>
      <c r="N59" s="18"/>
      <c r="O59" s="17"/>
      <c r="P59" s="17"/>
      <c r="Q59" s="17"/>
      <c r="R59" s="17"/>
      <c r="S59" s="17"/>
      <c r="T59" s="19"/>
      <c r="U59" s="15"/>
      <c r="V59" s="20"/>
      <c r="W59" s="21"/>
      <c r="X59" s="15"/>
      <c r="Y59" s="22"/>
    </row>
    <row r="60" spans="1:25" s="23" customFormat="1" x14ac:dyDescent="0.25">
      <c r="A60" s="121">
        <v>37</v>
      </c>
      <c r="B60" s="12" t="s">
        <v>85</v>
      </c>
      <c r="C60" s="12" t="s">
        <v>86</v>
      </c>
      <c r="D60" s="11">
        <v>15</v>
      </c>
      <c r="E60" s="13">
        <f t="shared" si="43"/>
        <v>216.26666666666668</v>
      </c>
      <c r="F60" s="27">
        <v>3244</v>
      </c>
      <c r="G60" s="15">
        <v>0</v>
      </c>
      <c r="H60" s="15">
        <f t="shared" si="44"/>
        <v>3244</v>
      </c>
      <c r="I60" s="16"/>
      <c r="J60" s="17">
        <v>0</v>
      </c>
      <c r="K60" s="17">
        <f>H60+J60</f>
        <v>3244</v>
      </c>
      <c r="L60" s="17">
        <f>VLOOKUP(K60,Tarifa1,1)</f>
        <v>2077.5100000000002</v>
      </c>
      <c r="M60" s="17">
        <f>K60-L60</f>
        <v>1166.4899999999998</v>
      </c>
      <c r="N60" s="18">
        <f>VLOOKUP(K60,Tarifa1,3)</f>
        <v>0.10879999999999999</v>
      </c>
      <c r="O60" s="17">
        <f>M60*N60</f>
        <v>126.91411199999997</v>
      </c>
      <c r="P60" s="17">
        <f>VLOOKUP(K60,Tarifa1,2)</f>
        <v>121.95</v>
      </c>
      <c r="Q60" s="17">
        <f>O60+P60</f>
        <v>248.86411199999998</v>
      </c>
      <c r="R60" s="17">
        <f>VLOOKUP(K60,Credito1,2)</f>
        <v>125.1</v>
      </c>
      <c r="S60" s="17">
        <f>Q60-R60</f>
        <v>123.76411199999998</v>
      </c>
      <c r="T60" s="19"/>
      <c r="U60" s="15">
        <f>-IF(S60&gt;0,0,S60)</f>
        <v>0</v>
      </c>
      <c r="V60" s="20">
        <f>IF(S60&lt;0,0,S60)</f>
        <v>123.76411199999998</v>
      </c>
      <c r="W60" s="21">
        <v>0</v>
      </c>
      <c r="X60" s="15">
        <f>SUM(V60:W60)</f>
        <v>123.76411199999998</v>
      </c>
      <c r="Y60" s="22">
        <f>H60+U60-X60</f>
        <v>3120.2358880000002</v>
      </c>
    </row>
    <row r="61" spans="1:25" s="23" customFormat="1" x14ac:dyDescent="0.25">
      <c r="A61" s="121"/>
      <c r="B61" s="28" t="s">
        <v>87</v>
      </c>
      <c r="C61" s="12"/>
      <c r="D61" s="11"/>
      <c r="E61" s="13"/>
      <c r="F61" s="27"/>
      <c r="G61" s="15"/>
      <c r="H61" s="15"/>
      <c r="I61" s="16"/>
      <c r="J61" s="17"/>
      <c r="K61" s="17"/>
      <c r="L61" s="17"/>
      <c r="M61" s="17"/>
      <c r="N61" s="18"/>
      <c r="O61" s="17"/>
      <c r="P61" s="17"/>
      <c r="Q61" s="17"/>
      <c r="R61" s="17"/>
      <c r="S61" s="17"/>
      <c r="T61" s="19"/>
      <c r="U61" s="15"/>
      <c r="V61" s="20"/>
      <c r="W61" s="21"/>
      <c r="X61" s="15"/>
      <c r="Y61" s="22"/>
    </row>
    <row r="62" spans="1:25" s="23" customFormat="1" x14ac:dyDescent="0.25">
      <c r="A62" s="121">
        <v>38</v>
      </c>
      <c r="B62" s="12" t="s">
        <v>88</v>
      </c>
      <c r="C62" s="12" t="s">
        <v>89</v>
      </c>
      <c r="D62" s="11">
        <v>15</v>
      </c>
      <c r="E62" s="13">
        <f t="shared" si="43"/>
        <v>216.26666666666668</v>
      </c>
      <c r="F62" s="27">
        <v>3244</v>
      </c>
      <c r="G62" s="15">
        <v>0</v>
      </c>
      <c r="H62" s="15">
        <f t="shared" si="44"/>
        <v>3244</v>
      </c>
      <c r="I62" s="16"/>
      <c r="J62" s="17">
        <v>0</v>
      </c>
      <c r="K62" s="17">
        <f>H62+J62</f>
        <v>3244</v>
      </c>
      <c r="L62" s="17">
        <f>VLOOKUP(K62,Tarifa1,1)</f>
        <v>2077.5100000000002</v>
      </c>
      <c r="M62" s="17">
        <f>K62-L62</f>
        <v>1166.4899999999998</v>
      </c>
      <c r="N62" s="18">
        <f>VLOOKUP(K62,Tarifa1,3)</f>
        <v>0.10879999999999999</v>
      </c>
      <c r="O62" s="17">
        <f>M62*N62</f>
        <v>126.91411199999997</v>
      </c>
      <c r="P62" s="17">
        <f>VLOOKUP(K62,Tarifa1,2)</f>
        <v>121.95</v>
      </c>
      <c r="Q62" s="17">
        <f>O62+P62</f>
        <v>248.86411199999998</v>
      </c>
      <c r="R62" s="17">
        <f>VLOOKUP(K62,Credito1,2)</f>
        <v>125.1</v>
      </c>
      <c r="S62" s="17">
        <f>Q62-R62</f>
        <v>123.76411199999998</v>
      </c>
      <c r="T62" s="19"/>
      <c r="U62" s="15">
        <f>-IF(S62&gt;0,0,S62)</f>
        <v>0</v>
      </c>
      <c r="V62" s="20">
        <f>IF(S62&lt;0,0,S62)</f>
        <v>123.76411199999998</v>
      </c>
      <c r="W62" s="21">
        <v>0</v>
      </c>
      <c r="X62" s="15">
        <f>SUM(V62:W62)</f>
        <v>123.76411199999998</v>
      </c>
      <c r="Y62" s="22">
        <f>H62+U62-X62</f>
        <v>3120.2358880000002</v>
      </c>
    </row>
    <row r="63" spans="1:25" s="23" customFormat="1" x14ac:dyDescent="0.25">
      <c r="A63" s="121"/>
      <c r="B63" s="28" t="s">
        <v>90</v>
      </c>
      <c r="C63" s="12"/>
      <c r="D63" s="11"/>
      <c r="E63" s="13"/>
      <c r="F63" s="27"/>
      <c r="G63" s="15"/>
      <c r="H63" s="15"/>
      <c r="I63" s="16"/>
      <c r="J63" s="17"/>
      <c r="K63" s="17"/>
      <c r="L63" s="17"/>
      <c r="M63" s="17"/>
      <c r="N63" s="18"/>
      <c r="O63" s="17"/>
      <c r="P63" s="17"/>
      <c r="Q63" s="17"/>
      <c r="R63" s="17"/>
      <c r="S63" s="17"/>
      <c r="T63" s="19"/>
      <c r="U63" s="15"/>
      <c r="V63" s="20"/>
      <c r="W63" s="21"/>
      <c r="X63" s="15"/>
      <c r="Y63" s="22"/>
    </row>
    <row r="64" spans="1:25" s="23" customFormat="1" x14ac:dyDescent="0.25">
      <c r="A64" s="121">
        <v>39</v>
      </c>
      <c r="B64" s="12" t="s">
        <v>91</v>
      </c>
      <c r="C64" s="12" t="s">
        <v>92</v>
      </c>
      <c r="D64" s="11">
        <v>15</v>
      </c>
      <c r="E64" s="13">
        <f t="shared" si="43"/>
        <v>171.66666666666666</v>
      </c>
      <c r="F64" s="27">
        <v>2575</v>
      </c>
      <c r="G64" s="15">
        <v>0</v>
      </c>
      <c r="H64" s="15">
        <f t="shared" si="44"/>
        <v>2575</v>
      </c>
      <c r="I64" s="16"/>
      <c r="J64" s="17">
        <v>0</v>
      </c>
      <c r="K64" s="17">
        <f>H64+J64</f>
        <v>2575</v>
      </c>
      <c r="L64" s="17">
        <f>VLOOKUP(K64,Tarifa1,1)</f>
        <v>2077.5100000000002</v>
      </c>
      <c r="M64" s="17">
        <f>K64-L64</f>
        <v>497.48999999999978</v>
      </c>
      <c r="N64" s="18">
        <f>VLOOKUP(K64,Tarifa1,3)</f>
        <v>0.10879999999999999</v>
      </c>
      <c r="O64" s="17">
        <f>M64*N64</f>
        <v>54.126911999999976</v>
      </c>
      <c r="P64" s="17">
        <f>VLOOKUP(K64,Tarifa1,2)</f>
        <v>121.95</v>
      </c>
      <c r="Q64" s="17">
        <f>O64+P64</f>
        <v>176.07691199999999</v>
      </c>
      <c r="R64" s="17">
        <f>VLOOKUP(K64,Credito1,2)</f>
        <v>160.35</v>
      </c>
      <c r="S64" s="17">
        <f>Q64-R64</f>
        <v>15.726911999999999</v>
      </c>
      <c r="T64" s="19"/>
      <c r="U64" s="15">
        <f>-IF(S64&gt;0,0,S64)</f>
        <v>0</v>
      </c>
      <c r="V64" s="20">
        <f>IF(S64&lt;0,0,S64)</f>
        <v>15.726911999999999</v>
      </c>
      <c r="W64" s="21">
        <v>0</v>
      </c>
      <c r="X64" s="15">
        <f>SUM(V64:W64)</f>
        <v>15.726911999999999</v>
      </c>
      <c r="Y64" s="22">
        <f>H64+U64-X64</f>
        <v>2559.2730879999999</v>
      </c>
    </row>
    <row r="65" spans="1:25" s="23" customFormat="1" x14ac:dyDescent="0.25">
      <c r="A65" s="121"/>
      <c r="B65" s="28" t="s">
        <v>93</v>
      </c>
      <c r="C65" s="12"/>
      <c r="D65" s="11"/>
      <c r="E65" s="13"/>
      <c r="F65" s="27"/>
      <c r="G65" s="15"/>
      <c r="H65" s="15"/>
      <c r="I65" s="16"/>
      <c r="J65" s="17"/>
      <c r="K65" s="17"/>
      <c r="L65" s="17"/>
      <c r="M65" s="17"/>
      <c r="N65" s="18"/>
      <c r="O65" s="17"/>
      <c r="P65" s="17"/>
      <c r="Q65" s="17"/>
      <c r="R65" s="17"/>
      <c r="S65" s="17"/>
      <c r="T65" s="19"/>
      <c r="U65" s="15"/>
      <c r="V65" s="20"/>
      <c r="W65" s="21"/>
      <c r="X65" s="15"/>
      <c r="Y65" s="22"/>
    </row>
    <row r="66" spans="1:25" s="23" customFormat="1" ht="26.25" x14ac:dyDescent="0.25">
      <c r="A66" s="121">
        <v>40</v>
      </c>
      <c r="B66" s="12" t="s">
        <v>94</v>
      </c>
      <c r="C66" s="12" t="s">
        <v>95</v>
      </c>
      <c r="D66" s="11">
        <v>15</v>
      </c>
      <c r="E66" s="13">
        <f t="shared" si="43"/>
        <v>222.73333333333332</v>
      </c>
      <c r="F66" s="27">
        <v>3341</v>
      </c>
      <c r="G66" s="15">
        <v>0</v>
      </c>
      <c r="H66" s="15">
        <f t="shared" si="44"/>
        <v>3341</v>
      </c>
      <c r="I66" s="16"/>
      <c r="J66" s="17">
        <v>0</v>
      </c>
      <c r="K66" s="17">
        <f>H66+J66</f>
        <v>3341</v>
      </c>
      <c r="L66" s="17">
        <f>VLOOKUP(K66,Tarifa1,1)</f>
        <v>2077.5100000000002</v>
      </c>
      <c r="M66" s="17">
        <f>K66-L66</f>
        <v>1263.4899999999998</v>
      </c>
      <c r="N66" s="18">
        <f>VLOOKUP(K66,Tarifa1,3)</f>
        <v>0.10879999999999999</v>
      </c>
      <c r="O66" s="17">
        <f>M66*N66</f>
        <v>137.46771199999998</v>
      </c>
      <c r="P66" s="17">
        <f>VLOOKUP(K66,Tarifa1,2)</f>
        <v>121.95</v>
      </c>
      <c r="Q66" s="17">
        <f>O66+P66</f>
        <v>259.41771199999999</v>
      </c>
      <c r="R66" s="17">
        <f>VLOOKUP(K66,Credito1,2)</f>
        <v>125.1</v>
      </c>
      <c r="S66" s="17">
        <f>Q66-R66</f>
        <v>134.317712</v>
      </c>
      <c r="T66" s="19"/>
      <c r="U66" s="15">
        <f>-IF(S66&gt;0,0,S66)</f>
        <v>0</v>
      </c>
      <c r="V66" s="20">
        <f>IF(S66&lt;0,0,S66)</f>
        <v>134.317712</v>
      </c>
      <c r="W66" s="21">
        <v>0</v>
      </c>
      <c r="X66" s="15">
        <f>SUM(V66:W66)</f>
        <v>134.317712</v>
      </c>
      <c r="Y66" s="22">
        <f>H66+U66-X66</f>
        <v>3206.682288</v>
      </c>
    </row>
    <row r="67" spans="1:25" s="23" customFormat="1" ht="26.25" x14ac:dyDescent="0.25">
      <c r="A67" s="121">
        <v>41</v>
      </c>
      <c r="B67" s="12" t="s">
        <v>96</v>
      </c>
      <c r="C67" s="12" t="s">
        <v>97</v>
      </c>
      <c r="D67" s="11">
        <v>15</v>
      </c>
      <c r="E67" s="13">
        <f t="shared" si="43"/>
        <v>242.52799999999999</v>
      </c>
      <c r="F67" s="27">
        <v>3637.92</v>
      </c>
      <c r="G67" s="15">
        <v>0</v>
      </c>
      <c r="H67" s="15">
        <f t="shared" si="44"/>
        <v>3637.92</v>
      </c>
      <c r="I67" s="16"/>
      <c r="J67" s="17">
        <v>0</v>
      </c>
      <c r="K67" s="17">
        <f>H67+J67</f>
        <v>3637.92</v>
      </c>
      <c r="L67" s="17">
        <f>VLOOKUP(K67,Tarifa1,1)</f>
        <v>2077.5100000000002</v>
      </c>
      <c r="M67" s="17">
        <f>K67-L67</f>
        <v>1560.4099999999999</v>
      </c>
      <c r="N67" s="18">
        <f>VLOOKUP(K67,Tarifa1,3)</f>
        <v>0.10879999999999999</v>
      </c>
      <c r="O67" s="17">
        <f>M67*N67</f>
        <v>169.77260799999996</v>
      </c>
      <c r="P67" s="17">
        <f>VLOOKUP(K67,Tarifa1,2)</f>
        <v>121.95</v>
      </c>
      <c r="Q67" s="17">
        <f>O67+P67</f>
        <v>291.72260799999998</v>
      </c>
      <c r="R67" s="17">
        <f>VLOOKUP(K67,Credito1,2)</f>
        <v>107.4</v>
      </c>
      <c r="S67" s="17">
        <f>Q67-R67</f>
        <v>184.32260799999997</v>
      </c>
      <c r="T67" s="19"/>
      <c r="U67" s="15">
        <f>-IF(S67&gt;0,0,S67)</f>
        <v>0</v>
      </c>
      <c r="V67" s="20">
        <f>IF(S67&lt;0,0,S67)</f>
        <v>184.32260799999997</v>
      </c>
      <c r="W67" s="21">
        <v>0</v>
      </c>
      <c r="X67" s="15">
        <f>SUM(V67:W67)</f>
        <v>184.32260799999997</v>
      </c>
      <c r="Y67" s="22">
        <f>H67+U67-X67</f>
        <v>3453.5973920000001</v>
      </c>
    </row>
    <row r="68" spans="1:25" s="23" customFormat="1" x14ac:dyDescent="0.25">
      <c r="A68" s="121"/>
      <c r="B68" s="28" t="s">
        <v>98</v>
      </c>
      <c r="C68" s="12"/>
      <c r="D68" s="11"/>
      <c r="E68" s="13"/>
      <c r="F68" s="27"/>
      <c r="G68" s="15"/>
      <c r="H68" s="15"/>
      <c r="I68" s="16"/>
      <c r="J68" s="17"/>
      <c r="K68" s="17"/>
      <c r="L68" s="17"/>
      <c r="M68" s="17"/>
      <c r="N68" s="18"/>
      <c r="O68" s="17"/>
      <c r="P68" s="17"/>
      <c r="Q68" s="17"/>
      <c r="R68" s="17"/>
      <c r="S68" s="17"/>
      <c r="T68" s="19"/>
      <c r="U68" s="15"/>
      <c r="V68" s="20"/>
      <c r="W68" s="21"/>
      <c r="X68" s="15"/>
      <c r="Y68" s="22"/>
    </row>
    <row r="69" spans="1:25" s="23" customFormat="1" ht="26.25" x14ac:dyDescent="0.25">
      <c r="A69" s="121">
        <v>42</v>
      </c>
      <c r="B69" s="12" t="s">
        <v>99</v>
      </c>
      <c r="C69" s="12" t="s">
        <v>100</v>
      </c>
      <c r="D69" s="11">
        <v>15</v>
      </c>
      <c r="E69" s="13">
        <f t="shared" si="43"/>
        <v>216.26666666666668</v>
      </c>
      <c r="F69" s="27">
        <v>3244</v>
      </c>
      <c r="G69" s="15">
        <v>0</v>
      </c>
      <c r="H69" s="15">
        <f t="shared" si="44"/>
        <v>3244</v>
      </c>
      <c r="I69" s="16"/>
      <c r="J69" s="17">
        <v>0</v>
      </c>
      <c r="K69" s="17">
        <f>H69+J69</f>
        <v>3244</v>
      </c>
      <c r="L69" s="17">
        <f>VLOOKUP(K69,Tarifa1,1)</f>
        <v>2077.5100000000002</v>
      </c>
      <c r="M69" s="17">
        <f>K69-L69</f>
        <v>1166.4899999999998</v>
      </c>
      <c r="N69" s="18">
        <f>VLOOKUP(K69,Tarifa1,3)</f>
        <v>0.10879999999999999</v>
      </c>
      <c r="O69" s="17">
        <f>M69*N69</f>
        <v>126.91411199999997</v>
      </c>
      <c r="P69" s="17">
        <f>VLOOKUP(K69,Tarifa1,2)</f>
        <v>121.95</v>
      </c>
      <c r="Q69" s="17">
        <f>O69+P69</f>
        <v>248.86411199999998</v>
      </c>
      <c r="R69" s="17">
        <f>VLOOKUP(K69,Credito1,2)</f>
        <v>125.1</v>
      </c>
      <c r="S69" s="17">
        <f>Q69-R69</f>
        <v>123.76411199999998</v>
      </c>
      <c r="T69" s="19"/>
      <c r="U69" s="15">
        <f>-IF(S69&gt;0,0,S69)</f>
        <v>0</v>
      </c>
      <c r="V69" s="20">
        <f>IF(S69&lt;0,0,S69)</f>
        <v>123.76411199999998</v>
      </c>
      <c r="W69" s="21">
        <v>0</v>
      </c>
      <c r="X69" s="15">
        <f>SUM(V69:W69)</f>
        <v>123.76411199999998</v>
      </c>
      <c r="Y69" s="22">
        <f>H69+U69-X69</f>
        <v>3120.2358880000002</v>
      </c>
    </row>
    <row r="70" spans="1:25" s="23" customFormat="1" ht="26.25" x14ac:dyDescent="0.25">
      <c r="A70" s="121">
        <v>43</v>
      </c>
      <c r="B70" s="12" t="s">
        <v>101</v>
      </c>
      <c r="C70" s="12" t="s">
        <v>102</v>
      </c>
      <c r="D70" s="11">
        <v>15</v>
      </c>
      <c r="E70" s="13">
        <f>F70/15</f>
        <v>300</v>
      </c>
      <c r="F70" s="27">
        <v>4500</v>
      </c>
      <c r="G70" s="15">
        <v>0</v>
      </c>
      <c r="H70" s="15">
        <f>TRUNC(SUM(D70*E70)+G70,2)</f>
        <v>4500</v>
      </c>
      <c r="I70" s="16"/>
      <c r="J70" s="17">
        <v>0</v>
      </c>
      <c r="K70" s="17">
        <f>H70+J70</f>
        <v>4500</v>
      </c>
      <c r="L70" s="17">
        <f>VLOOKUP(K70,Tarifa1,1)</f>
        <v>4244.1099999999997</v>
      </c>
      <c r="M70" s="17">
        <f>K70-L70</f>
        <v>255.89000000000033</v>
      </c>
      <c r="N70" s="18">
        <f>VLOOKUP(K70,Tarifa1,3)</f>
        <v>0.1792</v>
      </c>
      <c r="O70" s="17">
        <f>M70*N70</f>
        <v>45.855488000000058</v>
      </c>
      <c r="P70" s="17">
        <f>VLOOKUP(K70,Tarifa1,2)</f>
        <v>388.05</v>
      </c>
      <c r="Q70" s="17">
        <f>O70+P70</f>
        <v>433.90548800000005</v>
      </c>
      <c r="R70" s="17">
        <f>VLOOKUP(K70,Credito1,2)</f>
        <v>0</v>
      </c>
      <c r="S70" s="17">
        <f>Q70-R70</f>
        <v>433.90548800000005</v>
      </c>
      <c r="T70" s="19"/>
      <c r="U70" s="15">
        <f>-IF(S70&gt;0,0,S70)</f>
        <v>0</v>
      </c>
      <c r="V70" s="20">
        <f>IF(S70&lt;0,0,S70)</f>
        <v>433.90548800000005</v>
      </c>
      <c r="W70" s="21">
        <v>0</v>
      </c>
      <c r="X70" s="15">
        <f>SUM(V70:W70)</f>
        <v>433.90548800000005</v>
      </c>
      <c r="Y70" s="22">
        <f>H70+U70-X70</f>
        <v>4066.0945120000001</v>
      </c>
    </row>
    <row r="71" spans="1:25" s="23" customFormat="1" ht="26.25" x14ac:dyDescent="0.25">
      <c r="A71" s="121">
        <v>44</v>
      </c>
      <c r="B71" s="37" t="s">
        <v>103</v>
      </c>
      <c r="C71" s="37" t="s">
        <v>104</v>
      </c>
      <c r="D71" s="11">
        <v>15</v>
      </c>
      <c r="E71" s="13">
        <f>F71/15</f>
        <v>152.93333333333334</v>
      </c>
      <c r="F71" s="38">
        <v>2294</v>
      </c>
      <c r="G71" s="15">
        <v>0</v>
      </c>
      <c r="H71" s="15">
        <f>TRUNC(SUM(D71*E71)+G71,2)</f>
        <v>2294</v>
      </c>
      <c r="I71" s="16"/>
      <c r="J71" s="17">
        <v>0</v>
      </c>
      <c r="K71" s="17">
        <f>H71+J71</f>
        <v>2294</v>
      </c>
      <c r="L71" s="17">
        <f>VLOOKUP(K71,Tarifa1,1)</f>
        <v>2077.5100000000002</v>
      </c>
      <c r="M71" s="17">
        <f>K71-L71</f>
        <v>216.48999999999978</v>
      </c>
      <c r="N71" s="18">
        <f>VLOOKUP(K71,Tarifa1,3)</f>
        <v>0.10879999999999999</v>
      </c>
      <c r="O71" s="17">
        <f>M71*N71</f>
        <v>23.554111999999975</v>
      </c>
      <c r="P71" s="17">
        <f>VLOOKUP(K71,Tarifa1,2)</f>
        <v>121.95</v>
      </c>
      <c r="Q71" s="17">
        <f>O71+P71</f>
        <v>145.50411199999996</v>
      </c>
      <c r="R71" s="17">
        <f>VLOOKUP(K71,Credito1,2)</f>
        <v>174.75</v>
      </c>
      <c r="S71" s="17">
        <f>Q71-R71</f>
        <v>-29.245888000000036</v>
      </c>
      <c r="T71" s="19"/>
      <c r="U71" s="15">
        <f>-IF(S71&gt;0,0,S71)</f>
        <v>29.245888000000036</v>
      </c>
      <c r="V71" s="20">
        <f>IF(S71&lt;0,0,S71)</f>
        <v>0</v>
      </c>
      <c r="W71" s="21">
        <v>0</v>
      </c>
      <c r="X71" s="15">
        <f>SUM(V71:W71)</f>
        <v>0</v>
      </c>
      <c r="Y71" s="22">
        <f>H71+U71-X71</f>
        <v>2323.2458879999999</v>
      </c>
    </row>
    <row r="72" spans="1:25" s="23" customFormat="1" x14ac:dyDescent="0.25">
      <c r="A72" s="121"/>
      <c r="B72" s="28" t="s">
        <v>105</v>
      </c>
      <c r="C72" s="12"/>
      <c r="D72" s="11"/>
      <c r="E72" s="13"/>
      <c r="F72" s="27"/>
      <c r="G72" s="15"/>
      <c r="H72" s="15"/>
      <c r="I72" s="16"/>
      <c r="J72" s="17"/>
      <c r="K72" s="17"/>
      <c r="L72" s="17"/>
      <c r="M72" s="17"/>
      <c r="N72" s="18"/>
      <c r="O72" s="17"/>
      <c r="P72" s="17"/>
      <c r="Q72" s="17"/>
      <c r="R72" s="17"/>
      <c r="S72" s="17"/>
      <c r="T72" s="19"/>
      <c r="U72" s="15"/>
      <c r="V72" s="20"/>
      <c r="W72" s="21"/>
      <c r="X72" s="15"/>
      <c r="Y72" s="22"/>
    </row>
    <row r="73" spans="1:25" s="23" customFormat="1" ht="26.25" x14ac:dyDescent="0.25">
      <c r="A73" s="121">
        <v>45</v>
      </c>
      <c r="B73" s="12" t="s">
        <v>106</v>
      </c>
      <c r="C73" s="12" t="s">
        <v>107</v>
      </c>
      <c r="D73" s="11">
        <v>15</v>
      </c>
      <c r="E73" s="13">
        <f>F73/15</f>
        <v>823.93333333333328</v>
      </c>
      <c r="F73" s="27">
        <v>12359</v>
      </c>
      <c r="G73" s="15">
        <v>0</v>
      </c>
      <c r="H73" s="15">
        <f>TRUNC(SUM(D73*E73)+G73,2)</f>
        <v>12359</v>
      </c>
      <c r="I73" s="16"/>
      <c r="J73" s="17">
        <v>0</v>
      </c>
      <c r="K73" s="17">
        <f>H73+J73</f>
        <v>12359</v>
      </c>
      <c r="L73" s="17">
        <f>VLOOKUP(K73,Tarifa1,1)</f>
        <v>10248.459999999999</v>
      </c>
      <c r="M73" s="17">
        <f>K73-L73</f>
        <v>2110.5400000000009</v>
      </c>
      <c r="N73" s="18">
        <f>VLOOKUP(K73,Tarifa1,3)</f>
        <v>0.23519999999999999</v>
      </c>
      <c r="O73" s="17">
        <f>M73*N73</f>
        <v>496.39900800000021</v>
      </c>
      <c r="P73" s="17">
        <f>VLOOKUP(K73,Tarifa1,2)</f>
        <v>1641.75</v>
      </c>
      <c r="Q73" s="17">
        <f>O73+P73</f>
        <v>2138.1490080000003</v>
      </c>
      <c r="R73" s="17">
        <f>VLOOKUP(K73,Credito1,2)</f>
        <v>0</v>
      </c>
      <c r="S73" s="17">
        <f>Q73-R73</f>
        <v>2138.1490080000003</v>
      </c>
      <c r="T73" s="19"/>
      <c r="U73" s="15">
        <f>-IF(S73&gt;0,0,S73)</f>
        <v>0</v>
      </c>
      <c r="V73" s="20">
        <f>IF(S73&lt;0,0,S73)</f>
        <v>2138.1490080000003</v>
      </c>
      <c r="W73" s="21">
        <v>0</v>
      </c>
      <c r="X73" s="15">
        <f>SUM(V73:W73)</f>
        <v>2138.1490080000003</v>
      </c>
      <c r="Y73" s="22">
        <f>H73+U73-X73</f>
        <v>10220.850992</v>
      </c>
    </row>
    <row r="74" spans="1:25" s="23" customFormat="1" x14ac:dyDescent="0.25">
      <c r="A74" s="121">
        <v>46</v>
      </c>
      <c r="B74" s="12" t="s">
        <v>108</v>
      </c>
      <c r="C74" s="12" t="s">
        <v>68</v>
      </c>
      <c r="D74" s="11">
        <v>15</v>
      </c>
      <c r="E74" s="13">
        <f>F74/15</f>
        <v>221.86666666666667</v>
      </c>
      <c r="F74" s="27">
        <v>3328</v>
      </c>
      <c r="G74" s="15">
        <v>0</v>
      </c>
      <c r="H74" s="15">
        <f>TRUNC(SUM(D74*E74)+G74,2)</f>
        <v>3328</v>
      </c>
      <c r="I74" s="16"/>
      <c r="J74" s="17">
        <v>0</v>
      </c>
      <c r="K74" s="17">
        <f>H74+J74</f>
        <v>3328</v>
      </c>
      <c r="L74" s="17">
        <f>VLOOKUP(K74,Tarifa1,1)</f>
        <v>2077.5100000000002</v>
      </c>
      <c r="M74" s="17">
        <f>K74-L74</f>
        <v>1250.4899999999998</v>
      </c>
      <c r="N74" s="18">
        <f>VLOOKUP(K74,Tarifa1,3)</f>
        <v>0.10879999999999999</v>
      </c>
      <c r="O74" s="17">
        <f>M74*N74</f>
        <v>136.05331199999998</v>
      </c>
      <c r="P74" s="17">
        <f>VLOOKUP(K74,Tarifa1,2)</f>
        <v>121.95</v>
      </c>
      <c r="Q74" s="17">
        <f>O74+P74</f>
        <v>258.00331199999999</v>
      </c>
      <c r="R74" s="17">
        <f>VLOOKUP(K74,Credito1,2)</f>
        <v>125.1</v>
      </c>
      <c r="S74" s="17">
        <f>Q74-R74</f>
        <v>132.903312</v>
      </c>
      <c r="T74" s="19"/>
      <c r="U74" s="15">
        <f>-IF(S74&gt;0,0,S74)</f>
        <v>0</v>
      </c>
      <c r="V74" s="20">
        <f>IF(S74&lt;0,0,S74)</f>
        <v>132.903312</v>
      </c>
      <c r="W74" s="21">
        <v>0</v>
      </c>
      <c r="X74" s="15">
        <f>SUM(V74:W74)</f>
        <v>132.903312</v>
      </c>
      <c r="Y74" s="22">
        <f>H74+U74-X74</f>
        <v>3195.0966880000001</v>
      </c>
    </row>
    <row r="75" spans="1:25" s="23" customFormat="1" x14ac:dyDescent="0.25">
      <c r="A75" s="121"/>
      <c r="B75" s="28" t="s">
        <v>109</v>
      </c>
      <c r="C75" s="12"/>
      <c r="D75" s="11"/>
      <c r="E75" s="13"/>
      <c r="F75" s="27"/>
      <c r="G75" s="15"/>
      <c r="H75" s="15"/>
      <c r="I75" s="16"/>
      <c r="J75" s="17"/>
      <c r="K75" s="17"/>
      <c r="L75" s="17"/>
      <c r="M75" s="17"/>
      <c r="N75" s="18"/>
      <c r="O75" s="17"/>
      <c r="P75" s="17"/>
      <c r="Q75" s="17"/>
      <c r="R75" s="17"/>
      <c r="S75" s="17"/>
      <c r="T75" s="19"/>
      <c r="U75" s="15"/>
      <c r="V75" s="20"/>
      <c r="W75" s="21"/>
      <c r="X75" s="15"/>
      <c r="Y75" s="22"/>
    </row>
    <row r="76" spans="1:25" s="23" customFormat="1" ht="26.25" x14ac:dyDescent="0.25">
      <c r="A76" s="121">
        <v>47</v>
      </c>
      <c r="B76" s="12" t="s">
        <v>110</v>
      </c>
      <c r="C76" s="12" t="s">
        <v>111</v>
      </c>
      <c r="D76" s="11">
        <v>15</v>
      </c>
      <c r="E76" s="13">
        <f>F76/15</f>
        <v>216.26666666666668</v>
      </c>
      <c r="F76" s="27">
        <v>3244</v>
      </c>
      <c r="G76" s="15">
        <v>0</v>
      </c>
      <c r="H76" s="15">
        <f>TRUNC(SUM(D76*E76)+G76,2)</f>
        <v>3244</v>
      </c>
      <c r="I76" s="16"/>
      <c r="J76" s="17">
        <v>0</v>
      </c>
      <c r="K76" s="17">
        <f>H76+J76</f>
        <v>3244</v>
      </c>
      <c r="L76" s="17">
        <f>VLOOKUP(K76,Tarifa1,1)</f>
        <v>2077.5100000000002</v>
      </c>
      <c r="M76" s="17">
        <f>K76-L76</f>
        <v>1166.4899999999998</v>
      </c>
      <c r="N76" s="18">
        <f>VLOOKUP(K76,Tarifa1,3)</f>
        <v>0.10879999999999999</v>
      </c>
      <c r="O76" s="17">
        <f>M76*N76</f>
        <v>126.91411199999997</v>
      </c>
      <c r="P76" s="17">
        <f>VLOOKUP(K76,Tarifa1,2)</f>
        <v>121.95</v>
      </c>
      <c r="Q76" s="17">
        <f>O76+P76</f>
        <v>248.86411199999998</v>
      </c>
      <c r="R76" s="17">
        <f>VLOOKUP(K76,Credito1,2)</f>
        <v>125.1</v>
      </c>
      <c r="S76" s="17">
        <f>Q76-R76</f>
        <v>123.76411199999998</v>
      </c>
      <c r="T76" s="19"/>
      <c r="U76" s="15">
        <f>-IF(S76&gt;0,0,S76)</f>
        <v>0</v>
      </c>
      <c r="V76" s="20">
        <f>IF(S76&lt;0,0,S76)</f>
        <v>123.76411199999998</v>
      </c>
      <c r="W76" s="21">
        <v>0</v>
      </c>
      <c r="X76" s="15">
        <f>SUM(V76:W76)</f>
        <v>123.76411199999998</v>
      </c>
      <c r="Y76" s="22">
        <f>H76+U76-X76</f>
        <v>3120.2358880000002</v>
      </c>
    </row>
    <row r="77" spans="1:25" s="23" customFormat="1" x14ac:dyDescent="0.25">
      <c r="A77" s="121">
        <v>48</v>
      </c>
      <c r="B77" s="12" t="s">
        <v>112</v>
      </c>
      <c r="C77" s="12" t="s">
        <v>68</v>
      </c>
      <c r="D77" s="11">
        <v>15</v>
      </c>
      <c r="E77" s="13">
        <f>F77/15</f>
        <v>139.19999999999999</v>
      </c>
      <c r="F77" s="27">
        <v>2088</v>
      </c>
      <c r="G77" s="15">
        <v>0</v>
      </c>
      <c r="H77" s="15">
        <f>TRUNC(SUM(D77*E77)+G77,2)</f>
        <v>2088</v>
      </c>
      <c r="I77" s="16"/>
      <c r="J77" s="17">
        <v>0</v>
      </c>
      <c r="K77" s="17">
        <f>H77+J77</f>
        <v>2088</v>
      </c>
      <c r="L77" s="17">
        <f>VLOOKUP(K77,Tarifa1,1)</f>
        <v>2077.5100000000002</v>
      </c>
      <c r="M77" s="17">
        <f>K77-L77</f>
        <v>10.489999999999782</v>
      </c>
      <c r="N77" s="18">
        <f>VLOOKUP(K77,Tarifa1,3)</f>
        <v>0.10879999999999999</v>
      </c>
      <c r="O77" s="17">
        <f>M77*N77</f>
        <v>1.1413119999999761</v>
      </c>
      <c r="P77" s="17">
        <f>VLOOKUP(K77,Tarifa1,2)</f>
        <v>121.95</v>
      </c>
      <c r="Q77" s="17">
        <f>O77+P77</f>
        <v>123.09131199999997</v>
      </c>
      <c r="R77" s="17">
        <f>VLOOKUP(K77,Credito1,2)</f>
        <v>188.7</v>
      </c>
      <c r="S77" s="17">
        <f>Q77-R77</f>
        <v>-65.608688000000015</v>
      </c>
      <c r="T77" s="19"/>
      <c r="U77" s="15">
        <f>-IF(S77&gt;0,0,S77)</f>
        <v>65.608688000000015</v>
      </c>
      <c r="V77" s="20">
        <f>IF(S77&lt;0,0,S77)</f>
        <v>0</v>
      </c>
      <c r="W77" s="21">
        <v>0</v>
      </c>
      <c r="X77" s="15">
        <f>SUM(V77:W77)</f>
        <v>0</v>
      </c>
      <c r="Y77" s="22">
        <f>H77+U77-X77</f>
        <v>2153.6086879999998</v>
      </c>
    </row>
    <row r="78" spans="1:25" s="23" customFormat="1" x14ac:dyDescent="0.25">
      <c r="A78" s="121"/>
      <c r="B78" s="28" t="s">
        <v>113</v>
      </c>
      <c r="C78" s="12"/>
      <c r="D78" s="11"/>
      <c r="E78" s="13"/>
      <c r="F78" s="27"/>
      <c r="G78" s="15"/>
      <c r="H78" s="15"/>
      <c r="I78" s="16"/>
      <c r="J78" s="17"/>
      <c r="K78" s="17"/>
      <c r="L78" s="17"/>
      <c r="M78" s="17"/>
      <c r="N78" s="18"/>
      <c r="O78" s="17"/>
      <c r="P78" s="17"/>
      <c r="Q78" s="17"/>
      <c r="R78" s="17"/>
      <c r="S78" s="17"/>
      <c r="T78" s="19"/>
      <c r="U78" s="15"/>
      <c r="V78" s="20"/>
      <c r="W78" s="21"/>
      <c r="X78" s="15"/>
      <c r="Y78" s="22"/>
    </row>
    <row r="79" spans="1:25" s="23" customFormat="1" ht="26.25" x14ac:dyDescent="0.25">
      <c r="A79" s="121">
        <v>49</v>
      </c>
      <c r="B79" s="12" t="s">
        <v>114</v>
      </c>
      <c r="C79" s="12" t="s">
        <v>68</v>
      </c>
      <c r="D79" s="11">
        <v>15</v>
      </c>
      <c r="E79" s="13">
        <f>F79/15</f>
        <v>221.86666666666667</v>
      </c>
      <c r="F79" s="27">
        <v>3328</v>
      </c>
      <c r="G79" s="15">
        <v>0</v>
      </c>
      <c r="H79" s="15">
        <f>TRUNC(SUM(D79*E79)+G79,2)</f>
        <v>3328</v>
      </c>
      <c r="I79" s="16"/>
      <c r="J79" s="17">
        <v>0</v>
      </c>
      <c r="K79" s="17">
        <f>H79+J79</f>
        <v>3328</v>
      </c>
      <c r="L79" s="17">
        <f>VLOOKUP(K79,Tarifa1,1)</f>
        <v>2077.5100000000002</v>
      </c>
      <c r="M79" s="17">
        <f>K79-L79</f>
        <v>1250.4899999999998</v>
      </c>
      <c r="N79" s="18">
        <f>VLOOKUP(K79,Tarifa1,3)</f>
        <v>0.10879999999999999</v>
      </c>
      <c r="O79" s="17">
        <f>M79*N79</f>
        <v>136.05331199999998</v>
      </c>
      <c r="P79" s="17">
        <f>VLOOKUP(K79,Tarifa1,2)</f>
        <v>121.95</v>
      </c>
      <c r="Q79" s="17">
        <f>O79+P79</f>
        <v>258.00331199999999</v>
      </c>
      <c r="R79" s="17">
        <f>VLOOKUP(K79,Credito1,2)</f>
        <v>125.1</v>
      </c>
      <c r="S79" s="17">
        <f>Q79-R79</f>
        <v>132.903312</v>
      </c>
      <c r="T79" s="19"/>
      <c r="U79" s="15">
        <f>-IF(S79&gt;0,0,S79)</f>
        <v>0</v>
      </c>
      <c r="V79" s="20">
        <f>IF(S79&lt;0,0,S79)</f>
        <v>132.903312</v>
      </c>
      <c r="W79" s="21">
        <v>0</v>
      </c>
      <c r="X79" s="15">
        <f>SUM(V79:W79)</f>
        <v>132.903312</v>
      </c>
      <c r="Y79" s="22">
        <f>H79+U79-X79</f>
        <v>3195.0966880000001</v>
      </c>
    </row>
    <row r="80" spans="1:25" s="23" customFormat="1" x14ac:dyDescent="0.25">
      <c r="A80" s="121"/>
      <c r="B80" s="28" t="s">
        <v>115</v>
      </c>
      <c r="C80" s="12"/>
      <c r="D80" s="11"/>
      <c r="E80" s="13"/>
      <c r="F80" s="27"/>
      <c r="G80" s="15"/>
      <c r="H80" s="15"/>
      <c r="I80" s="16"/>
      <c r="J80" s="17"/>
      <c r="K80" s="17"/>
      <c r="L80" s="17"/>
      <c r="M80" s="17"/>
      <c r="N80" s="18"/>
      <c r="O80" s="17"/>
      <c r="P80" s="17"/>
      <c r="Q80" s="17"/>
      <c r="R80" s="17"/>
      <c r="S80" s="17"/>
      <c r="T80" s="19"/>
      <c r="U80" s="15"/>
      <c r="V80" s="20"/>
      <c r="W80" s="21"/>
      <c r="X80" s="15"/>
      <c r="Y80" s="22"/>
    </row>
    <row r="81" spans="1:25" s="23" customFormat="1" ht="26.25" x14ac:dyDescent="0.25">
      <c r="A81" s="121">
        <v>50</v>
      </c>
      <c r="B81" s="12" t="s">
        <v>116</v>
      </c>
      <c r="C81" s="12" t="s">
        <v>117</v>
      </c>
      <c r="D81" s="11">
        <v>15</v>
      </c>
      <c r="E81" s="13">
        <f>F81/15</f>
        <v>440</v>
      </c>
      <c r="F81" s="27">
        <v>6600</v>
      </c>
      <c r="G81" s="15">
        <v>0</v>
      </c>
      <c r="H81" s="15">
        <f>TRUNC(SUM(D81*E81)+G81,2)</f>
        <v>6600</v>
      </c>
      <c r="I81" s="16"/>
      <c r="J81" s="17">
        <v>0</v>
      </c>
      <c r="K81" s="17">
        <f>H81+J81</f>
        <v>6600</v>
      </c>
      <c r="L81" s="17">
        <f>VLOOKUP(K81,Tarifa1,1)</f>
        <v>5081.41</v>
      </c>
      <c r="M81" s="17">
        <f>K81-L81</f>
        <v>1518.5900000000001</v>
      </c>
      <c r="N81" s="18">
        <f>VLOOKUP(K81,Tarifa1,3)</f>
        <v>0.21360000000000001</v>
      </c>
      <c r="O81" s="17">
        <f>M81*N81</f>
        <v>324.37082400000003</v>
      </c>
      <c r="P81" s="17">
        <f>VLOOKUP(K81,Tarifa1,2)</f>
        <v>538.20000000000005</v>
      </c>
      <c r="Q81" s="17">
        <f>O81+P81</f>
        <v>862.57082400000013</v>
      </c>
      <c r="R81" s="17">
        <f>VLOOKUP(K81,Credito1,2)</f>
        <v>0</v>
      </c>
      <c r="S81" s="17">
        <f>Q81-R81</f>
        <v>862.57082400000013</v>
      </c>
      <c r="T81" s="19"/>
      <c r="U81" s="15">
        <f>-IF(S81&gt;0,0,S81)</f>
        <v>0</v>
      </c>
      <c r="V81" s="20">
        <f>IF(S81&lt;0,0,S81)</f>
        <v>862.57082400000013</v>
      </c>
      <c r="W81" s="21">
        <v>0</v>
      </c>
      <c r="X81" s="15">
        <f>SUM(V81:W81)</f>
        <v>862.57082400000013</v>
      </c>
      <c r="Y81" s="22">
        <f>H81+U81-X81</f>
        <v>5737.4291759999996</v>
      </c>
    </row>
    <row r="82" spans="1:25" s="23" customFormat="1" ht="26.25" x14ac:dyDescent="0.25">
      <c r="A82" s="121">
        <v>51</v>
      </c>
      <c r="B82" s="12" t="s">
        <v>118</v>
      </c>
      <c r="C82" s="12" t="s">
        <v>119</v>
      </c>
      <c r="D82" s="11">
        <v>15</v>
      </c>
      <c r="E82" s="13">
        <f>F82/15</f>
        <v>259.93333333333334</v>
      </c>
      <c r="F82" s="27">
        <v>3899</v>
      </c>
      <c r="G82" s="15">
        <v>0</v>
      </c>
      <c r="H82" s="15">
        <f>TRUNC(SUM(D82*E82)+G82,2)</f>
        <v>3899</v>
      </c>
      <c r="I82" s="16"/>
      <c r="J82" s="17">
        <v>0</v>
      </c>
      <c r="K82" s="17">
        <f>H82+J82</f>
        <v>3899</v>
      </c>
      <c r="L82" s="17">
        <f>VLOOKUP(K82,Tarifa1,1)</f>
        <v>3651.01</v>
      </c>
      <c r="M82" s="17">
        <f>K82-L82</f>
        <v>247.98999999999978</v>
      </c>
      <c r="N82" s="18">
        <f>VLOOKUP(K82,Tarifa1,3)</f>
        <v>0.16</v>
      </c>
      <c r="O82" s="17">
        <f>M82*N82</f>
        <v>39.678399999999968</v>
      </c>
      <c r="P82" s="17">
        <f>VLOOKUP(K82,Tarifa1,2)</f>
        <v>293.25</v>
      </c>
      <c r="Q82" s="17">
        <f>O82+P82</f>
        <v>332.92839999999995</v>
      </c>
      <c r="R82" s="17">
        <f>VLOOKUP(K82,Credito1,2)</f>
        <v>0</v>
      </c>
      <c r="S82" s="17">
        <f>Q82-R82</f>
        <v>332.92839999999995</v>
      </c>
      <c r="T82" s="19"/>
      <c r="U82" s="15">
        <f>-IF(S82&gt;0,0,S82)</f>
        <v>0</v>
      </c>
      <c r="V82" s="20">
        <f>IF(S82&lt;0,0,S82)</f>
        <v>332.92839999999995</v>
      </c>
      <c r="W82" s="21">
        <v>0</v>
      </c>
      <c r="X82" s="15">
        <f>SUM(V82:W82)</f>
        <v>332.92839999999995</v>
      </c>
      <c r="Y82" s="22">
        <f>H82+U82-X82</f>
        <v>3566.0716000000002</v>
      </c>
    </row>
    <row r="83" spans="1:25" s="23" customFormat="1" ht="26.25" x14ac:dyDescent="0.25">
      <c r="A83" s="121">
        <v>52</v>
      </c>
      <c r="B83" s="12" t="s">
        <v>120</v>
      </c>
      <c r="C83" s="12" t="s">
        <v>119</v>
      </c>
      <c r="D83" s="11">
        <v>15</v>
      </c>
      <c r="E83" s="13">
        <f>F83/15</f>
        <v>214.53333333333333</v>
      </c>
      <c r="F83" s="27">
        <v>3218</v>
      </c>
      <c r="G83" s="15">
        <v>0</v>
      </c>
      <c r="H83" s="15">
        <f>TRUNC(SUM(D83*E83)+G83,2)</f>
        <v>3218</v>
      </c>
      <c r="I83" s="16"/>
      <c r="J83" s="17">
        <v>0</v>
      </c>
      <c r="K83" s="17">
        <f>H83+J83</f>
        <v>3218</v>
      </c>
      <c r="L83" s="17">
        <f>VLOOKUP(K83,Tarifa1,1)</f>
        <v>2077.5100000000002</v>
      </c>
      <c r="M83" s="17">
        <f>K83-L83</f>
        <v>1140.4899999999998</v>
      </c>
      <c r="N83" s="18">
        <f>VLOOKUP(K83,Tarifa1,3)</f>
        <v>0.10879999999999999</v>
      </c>
      <c r="O83" s="17">
        <f>M83*N83</f>
        <v>124.08531199999997</v>
      </c>
      <c r="P83" s="17">
        <f>VLOOKUP(K83,Tarifa1,2)</f>
        <v>121.95</v>
      </c>
      <c r="Q83" s="17">
        <f>O83+P83</f>
        <v>246.03531199999998</v>
      </c>
      <c r="R83" s="17">
        <f>VLOOKUP(K83,Credito1,2)</f>
        <v>125.1</v>
      </c>
      <c r="S83" s="17">
        <f>Q83-R83</f>
        <v>120.93531199999998</v>
      </c>
      <c r="T83" s="19"/>
      <c r="U83" s="15">
        <f>-IF(S83&gt;0,0,S83)</f>
        <v>0</v>
      </c>
      <c r="V83" s="20">
        <f>IF(S83&lt;0,0,S83)</f>
        <v>120.93531199999998</v>
      </c>
      <c r="W83" s="21">
        <v>0</v>
      </c>
      <c r="X83" s="15">
        <f>SUM(V83:W83)</f>
        <v>120.93531199999998</v>
      </c>
      <c r="Y83" s="22">
        <f>H83+U83-X83</f>
        <v>3097.0646879999999</v>
      </c>
    </row>
    <row r="84" spans="1:25" s="23" customFormat="1" x14ac:dyDescent="0.25">
      <c r="A84" s="121"/>
      <c r="B84" s="28" t="s">
        <v>121</v>
      </c>
      <c r="C84" s="12"/>
      <c r="D84" s="11"/>
      <c r="E84" s="13"/>
      <c r="F84" s="27"/>
      <c r="G84" s="15"/>
      <c r="H84" s="15"/>
      <c r="I84" s="16"/>
      <c r="J84" s="17"/>
      <c r="K84" s="17"/>
      <c r="L84" s="17"/>
      <c r="M84" s="17"/>
      <c r="N84" s="18"/>
      <c r="O84" s="17"/>
      <c r="P84" s="17"/>
      <c r="Q84" s="17"/>
      <c r="R84" s="17"/>
      <c r="S84" s="17"/>
      <c r="T84" s="19"/>
      <c r="U84" s="15"/>
      <c r="V84" s="20"/>
      <c r="W84" s="21"/>
      <c r="X84" s="15"/>
      <c r="Y84" s="22"/>
    </row>
    <row r="85" spans="1:25" s="23" customFormat="1" ht="26.25" x14ac:dyDescent="0.25">
      <c r="A85" s="121">
        <v>53</v>
      </c>
      <c r="B85" s="12" t="s">
        <v>122</v>
      </c>
      <c r="C85" s="12" t="s">
        <v>123</v>
      </c>
      <c r="D85" s="11">
        <v>15</v>
      </c>
      <c r="E85" s="13">
        <f t="shared" ref="E85:E93" si="45">F85/15</f>
        <v>216.32000000000002</v>
      </c>
      <c r="F85" s="27">
        <v>3244.8</v>
      </c>
      <c r="G85" s="15">
        <v>0</v>
      </c>
      <c r="H85" s="15">
        <f t="shared" ref="H85:H90" si="46">TRUNC(SUM(D85*E85)+G85,2)</f>
        <v>3244.8</v>
      </c>
      <c r="I85" s="16"/>
      <c r="J85" s="17">
        <v>0</v>
      </c>
      <c r="K85" s="17">
        <f t="shared" ref="K85:K91" si="47">H85+J85</f>
        <v>3244.8</v>
      </c>
      <c r="L85" s="17">
        <f>VLOOKUP(K85,Tarifa1,1)</f>
        <v>2077.5100000000002</v>
      </c>
      <c r="M85" s="17">
        <f t="shared" ref="M85:M91" si="48">K85-L85</f>
        <v>1167.29</v>
      </c>
      <c r="N85" s="18">
        <f>VLOOKUP(K85,Tarifa1,3)</f>
        <v>0.10879999999999999</v>
      </c>
      <c r="O85" s="17">
        <f t="shared" ref="O85:O91" si="49">M85*N85</f>
        <v>127.00115199999999</v>
      </c>
      <c r="P85" s="17">
        <f>VLOOKUP(K85,Tarifa1,2)</f>
        <v>121.95</v>
      </c>
      <c r="Q85" s="17">
        <f t="shared" ref="Q85:Q91" si="50">O85+P85</f>
        <v>248.95115199999998</v>
      </c>
      <c r="R85" s="17">
        <f>VLOOKUP(K85,Credito1,2)</f>
        <v>125.1</v>
      </c>
      <c r="S85" s="17">
        <f t="shared" ref="S85:S91" si="51">Q85-R85</f>
        <v>123.85115199999998</v>
      </c>
      <c r="T85" s="19"/>
      <c r="U85" s="15">
        <f t="shared" ref="U85:U91" si="52">-IF(S85&gt;0,0,S85)</f>
        <v>0</v>
      </c>
      <c r="V85" s="20">
        <f t="shared" ref="V85:V90" si="53">IF(S85&lt;0,0,S85)</f>
        <v>123.85115199999998</v>
      </c>
      <c r="W85" s="21">
        <v>0</v>
      </c>
      <c r="X85" s="15">
        <f t="shared" ref="X85:X91" si="54">SUM(V85:W85)</f>
        <v>123.85115199999998</v>
      </c>
      <c r="Y85" s="22">
        <f t="shared" ref="Y85:Y91" si="55">H85+U85-X85</f>
        <v>3120.948848</v>
      </c>
    </row>
    <row r="86" spans="1:25" s="23" customFormat="1" x14ac:dyDescent="0.25">
      <c r="A86" s="121">
        <v>54</v>
      </c>
      <c r="B86" s="12" t="s">
        <v>124</v>
      </c>
      <c r="C86" s="12" t="s">
        <v>125</v>
      </c>
      <c r="D86" s="11">
        <v>15</v>
      </c>
      <c r="E86" s="13">
        <f t="shared" si="45"/>
        <v>217</v>
      </c>
      <c r="F86" s="27">
        <v>3255</v>
      </c>
      <c r="G86" s="15">
        <v>0</v>
      </c>
      <c r="H86" s="15">
        <f t="shared" si="46"/>
        <v>3255</v>
      </c>
      <c r="I86" s="16"/>
      <c r="J86" s="17">
        <v>0</v>
      </c>
      <c r="K86" s="17">
        <f t="shared" si="47"/>
        <v>3255</v>
      </c>
      <c r="L86" s="17">
        <f>VLOOKUP(K86,Tarifa1,1)</f>
        <v>2077.5100000000002</v>
      </c>
      <c r="M86" s="17">
        <f t="shared" si="48"/>
        <v>1177.4899999999998</v>
      </c>
      <c r="N86" s="18">
        <f>VLOOKUP(K86,Tarifa1,3)</f>
        <v>0.10879999999999999</v>
      </c>
      <c r="O86" s="17">
        <f t="shared" si="49"/>
        <v>128.11091199999996</v>
      </c>
      <c r="P86" s="17">
        <f>VLOOKUP(K86,Tarifa1,2)</f>
        <v>121.95</v>
      </c>
      <c r="Q86" s="17">
        <f t="shared" si="50"/>
        <v>250.06091199999997</v>
      </c>
      <c r="R86" s="17">
        <f>VLOOKUP(K86,Credito1,2)</f>
        <v>125.1</v>
      </c>
      <c r="S86" s="17">
        <f t="shared" si="51"/>
        <v>124.96091199999998</v>
      </c>
      <c r="T86" s="19"/>
      <c r="U86" s="15">
        <f t="shared" si="52"/>
        <v>0</v>
      </c>
      <c r="V86" s="20">
        <f t="shared" si="53"/>
        <v>124.96091199999998</v>
      </c>
      <c r="W86" s="21">
        <v>0</v>
      </c>
      <c r="X86" s="15">
        <f t="shared" si="54"/>
        <v>124.96091199999998</v>
      </c>
      <c r="Y86" s="22">
        <f t="shared" si="55"/>
        <v>3130.039088</v>
      </c>
    </row>
    <row r="87" spans="1:25" s="23" customFormat="1" x14ac:dyDescent="0.25">
      <c r="A87" s="121">
        <v>55</v>
      </c>
      <c r="B87" s="12" t="s">
        <v>126</v>
      </c>
      <c r="C87" s="12" t="s">
        <v>125</v>
      </c>
      <c r="D87" s="11">
        <v>15</v>
      </c>
      <c r="E87" s="13">
        <f t="shared" si="45"/>
        <v>182.93333333333334</v>
      </c>
      <c r="F87" s="27">
        <v>2744</v>
      </c>
      <c r="G87" s="15">
        <v>0</v>
      </c>
      <c r="H87" s="15">
        <f t="shared" si="46"/>
        <v>2744</v>
      </c>
      <c r="I87" s="16"/>
      <c r="J87" s="17">
        <v>0</v>
      </c>
      <c r="K87" s="17">
        <f t="shared" si="47"/>
        <v>2744</v>
      </c>
      <c r="L87" s="17">
        <f>VLOOKUP(K87,Tarifa1,1)</f>
        <v>2077.5100000000002</v>
      </c>
      <c r="M87" s="17">
        <f t="shared" si="48"/>
        <v>666.48999999999978</v>
      </c>
      <c r="N87" s="18">
        <f>VLOOKUP(K87,Tarifa1,3)</f>
        <v>0.10879999999999999</v>
      </c>
      <c r="O87" s="17">
        <f t="shared" si="49"/>
        <v>72.514111999999969</v>
      </c>
      <c r="P87" s="17">
        <f>VLOOKUP(K87,Tarifa1,2)</f>
        <v>121.95</v>
      </c>
      <c r="Q87" s="17">
        <f t="shared" si="50"/>
        <v>194.46411199999997</v>
      </c>
      <c r="R87" s="17">
        <f>VLOOKUP(K87,Credito1,2)</f>
        <v>145.35</v>
      </c>
      <c r="S87" s="17">
        <f t="shared" si="51"/>
        <v>49.114111999999977</v>
      </c>
      <c r="T87" s="19"/>
      <c r="U87" s="15">
        <f t="shared" si="52"/>
        <v>0</v>
      </c>
      <c r="V87" s="20">
        <f t="shared" si="53"/>
        <v>49.114111999999977</v>
      </c>
      <c r="W87" s="21">
        <v>0</v>
      </c>
      <c r="X87" s="15">
        <f t="shared" si="54"/>
        <v>49.114111999999977</v>
      </c>
      <c r="Y87" s="22">
        <f t="shared" si="55"/>
        <v>2694.8858879999998</v>
      </c>
    </row>
    <row r="88" spans="1:25" s="23" customFormat="1" x14ac:dyDescent="0.25">
      <c r="A88" s="121">
        <v>56</v>
      </c>
      <c r="B88" s="12" t="s">
        <v>127</v>
      </c>
      <c r="C88" s="12" t="s">
        <v>125</v>
      </c>
      <c r="D88" s="11">
        <v>15</v>
      </c>
      <c r="E88" s="13">
        <f t="shared" si="45"/>
        <v>140.33333333333334</v>
      </c>
      <c r="F88" s="27">
        <v>2105</v>
      </c>
      <c r="G88" s="15">
        <v>0</v>
      </c>
      <c r="H88" s="15">
        <f t="shared" si="46"/>
        <v>2105</v>
      </c>
      <c r="I88" s="16"/>
      <c r="J88" s="17">
        <v>0</v>
      </c>
      <c r="K88" s="17">
        <f t="shared" si="47"/>
        <v>2105</v>
      </c>
      <c r="L88" s="17">
        <f>VLOOKUP(K88,Tarifa1,1)</f>
        <v>2077.5100000000002</v>
      </c>
      <c r="M88" s="17">
        <f t="shared" si="48"/>
        <v>27.489999999999782</v>
      </c>
      <c r="N88" s="18">
        <f>VLOOKUP(K88,Tarifa1,3)</f>
        <v>0.10879999999999999</v>
      </c>
      <c r="O88" s="17">
        <f t="shared" si="49"/>
        <v>2.9909119999999763</v>
      </c>
      <c r="P88" s="17">
        <f>VLOOKUP(K88,Tarifa1,2)</f>
        <v>121.95</v>
      </c>
      <c r="Q88" s="17">
        <f t="shared" si="50"/>
        <v>124.94091199999998</v>
      </c>
      <c r="R88" s="17">
        <f>VLOOKUP(K88,Credito1,2)</f>
        <v>188.7</v>
      </c>
      <c r="S88" s="17">
        <f t="shared" si="51"/>
        <v>-63.759088000000006</v>
      </c>
      <c r="T88" s="19"/>
      <c r="U88" s="15">
        <f t="shared" si="52"/>
        <v>63.759088000000006</v>
      </c>
      <c r="V88" s="20">
        <f t="shared" si="53"/>
        <v>0</v>
      </c>
      <c r="W88" s="21">
        <v>0</v>
      </c>
      <c r="X88" s="15">
        <f t="shared" si="54"/>
        <v>0</v>
      </c>
      <c r="Y88" s="22">
        <f t="shared" si="55"/>
        <v>2168.7590879999998</v>
      </c>
    </row>
    <row r="89" spans="1:25" s="23" customFormat="1" x14ac:dyDescent="0.25">
      <c r="A89" s="121">
        <v>57</v>
      </c>
      <c r="B89" s="12" t="s">
        <v>128</v>
      </c>
      <c r="C89" s="12" t="s">
        <v>129</v>
      </c>
      <c r="D89" s="11">
        <v>15</v>
      </c>
      <c r="E89" s="13">
        <f t="shared" si="45"/>
        <v>174.26666666666668</v>
      </c>
      <c r="F89" s="27">
        <v>2614</v>
      </c>
      <c r="G89" s="15">
        <v>0</v>
      </c>
      <c r="H89" s="15">
        <f>TRUNC(SUM(D89*E89)+G89,2)</f>
        <v>2614</v>
      </c>
      <c r="I89" s="16"/>
      <c r="J89" s="17">
        <v>0</v>
      </c>
      <c r="K89" s="17">
        <f>H89+J89</f>
        <v>2614</v>
      </c>
      <c r="L89" s="17">
        <f>IF(H89=0,0,VLOOKUP(K89,Tarifa1,1))</f>
        <v>2077.5100000000002</v>
      </c>
      <c r="M89" s="17">
        <f>K89-L89</f>
        <v>536.48999999999978</v>
      </c>
      <c r="N89" s="18">
        <f>IF(H89=0,0,VLOOKUP(K89,Tarifa1,3))</f>
        <v>0.10879999999999999</v>
      </c>
      <c r="O89" s="17">
        <f>M89*N89</f>
        <v>58.37011199999997</v>
      </c>
      <c r="P89" s="17">
        <f>IF(H89=0,0,VLOOKUP(K89,Tarifa1,2))</f>
        <v>121.95</v>
      </c>
      <c r="Q89" s="17">
        <f>O89+P89</f>
        <v>180.32011199999997</v>
      </c>
      <c r="R89" s="17">
        <f>IF(H89=0,0,VLOOKUP(K89,Credito1,2))</f>
        <v>160.35</v>
      </c>
      <c r="S89" s="17">
        <f>Q89-R89</f>
        <v>19.970111999999972</v>
      </c>
      <c r="T89" s="19"/>
      <c r="U89" s="15">
        <f>-IF(S89&gt;0,0,S89)</f>
        <v>0</v>
      </c>
      <c r="V89" s="20">
        <f>IF(S89&lt;0,0,S89)</f>
        <v>19.970111999999972</v>
      </c>
      <c r="W89" s="21">
        <v>0</v>
      </c>
      <c r="X89" s="15">
        <f>SUM(V89:W89)</f>
        <v>19.970111999999972</v>
      </c>
      <c r="Y89" s="22">
        <f>H89+U89-X89</f>
        <v>2594.029888</v>
      </c>
    </row>
    <row r="90" spans="1:25" s="23" customFormat="1" x14ac:dyDescent="0.25">
      <c r="A90" s="121">
        <v>58</v>
      </c>
      <c r="B90" s="12" t="s">
        <v>130</v>
      </c>
      <c r="C90" s="12" t="s">
        <v>129</v>
      </c>
      <c r="D90" s="11">
        <v>15</v>
      </c>
      <c r="E90" s="13">
        <f t="shared" si="45"/>
        <v>174.26666666666668</v>
      </c>
      <c r="F90" s="27">
        <v>2614</v>
      </c>
      <c r="G90" s="15">
        <v>0</v>
      </c>
      <c r="H90" s="15">
        <f t="shared" si="46"/>
        <v>2614</v>
      </c>
      <c r="I90" s="16"/>
      <c r="J90" s="17">
        <v>0</v>
      </c>
      <c r="K90" s="17">
        <f t="shared" si="47"/>
        <v>2614</v>
      </c>
      <c r="L90" s="17">
        <f>IF(H90=0,0,VLOOKUP(K90,Tarifa1,1))</f>
        <v>2077.5100000000002</v>
      </c>
      <c r="M90" s="17">
        <f t="shared" si="48"/>
        <v>536.48999999999978</v>
      </c>
      <c r="N90" s="18">
        <f>IF(H90=0,0,VLOOKUP(K90,Tarifa1,3))</f>
        <v>0.10879999999999999</v>
      </c>
      <c r="O90" s="17">
        <f t="shared" si="49"/>
        <v>58.37011199999997</v>
      </c>
      <c r="P90" s="17">
        <f>IF(H90=0,0,VLOOKUP(K90,Tarifa1,2))</f>
        <v>121.95</v>
      </c>
      <c r="Q90" s="17">
        <f t="shared" si="50"/>
        <v>180.32011199999997</v>
      </c>
      <c r="R90" s="17">
        <f>IF(H90=0,0,VLOOKUP(K90,Credito1,2))</f>
        <v>160.35</v>
      </c>
      <c r="S90" s="17">
        <f t="shared" si="51"/>
        <v>19.970111999999972</v>
      </c>
      <c r="T90" s="19"/>
      <c r="U90" s="15">
        <f t="shared" si="52"/>
        <v>0</v>
      </c>
      <c r="V90" s="20">
        <f t="shared" si="53"/>
        <v>19.970111999999972</v>
      </c>
      <c r="W90" s="21">
        <v>0</v>
      </c>
      <c r="X90" s="15">
        <f t="shared" si="54"/>
        <v>19.970111999999972</v>
      </c>
      <c r="Y90" s="22">
        <f t="shared" si="55"/>
        <v>2594.029888</v>
      </c>
    </row>
    <row r="91" spans="1:25" s="23" customFormat="1" x14ac:dyDescent="0.25">
      <c r="A91" s="121">
        <v>59</v>
      </c>
      <c r="B91" s="12" t="s">
        <v>131</v>
      </c>
      <c r="C91" s="12" t="s">
        <v>125</v>
      </c>
      <c r="D91" s="11">
        <v>15</v>
      </c>
      <c r="E91" s="13">
        <f>F91/15</f>
        <v>171.66666666666666</v>
      </c>
      <c r="F91" s="14">
        <v>2575</v>
      </c>
      <c r="G91" s="30">
        <v>0</v>
      </c>
      <c r="H91" s="39">
        <f>TRUNC(SUM(D91*E91)+G91,2)</f>
        <v>2575</v>
      </c>
      <c r="I91" s="40"/>
      <c r="J91" s="41">
        <v>0</v>
      </c>
      <c r="K91" s="41">
        <f t="shared" si="47"/>
        <v>2575</v>
      </c>
      <c r="L91" s="41">
        <f>VLOOKUP(K91,Tarifa1,1)</f>
        <v>2077.5100000000002</v>
      </c>
      <c r="M91" s="41">
        <f t="shared" si="48"/>
        <v>497.48999999999978</v>
      </c>
      <c r="N91" s="42">
        <f>VLOOKUP(K91,Tarifa1,3)</f>
        <v>0.10879999999999999</v>
      </c>
      <c r="O91" s="41">
        <f t="shared" si="49"/>
        <v>54.126911999999976</v>
      </c>
      <c r="P91" s="41">
        <f>VLOOKUP(K91,Tarifa1,2)</f>
        <v>121.95</v>
      </c>
      <c r="Q91" s="41">
        <f t="shared" si="50"/>
        <v>176.07691199999999</v>
      </c>
      <c r="R91" s="41">
        <f>VLOOKUP(K91,Credito1,2)</f>
        <v>160.35</v>
      </c>
      <c r="S91" s="41">
        <f t="shared" si="51"/>
        <v>15.726911999999999</v>
      </c>
      <c r="T91" s="43"/>
      <c r="U91" s="39">
        <f t="shared" si="52"/>
        <v>0</v>
      </c>
      <c r="V91" s="44">
        <f>IF(S91&lt;0,0,S91)</f>
        <v>15.726911999999999</v>
      </c>
      <c r="W91" s="45">
        <v>0</v>
      </c>
      <c r="X91" s="39">
        <f t="shared" si="54"/>
        <v>15.726911999999999</v>
      </c>
      <c r="Y91" s="46">
        <f t="shared" si="55"/>
        <v>2559.2730879999999</v>
      </c>
    </row>
    <row r="92" spans="1:25" s="23" customFormat="1" x14ac:dyDescent="0.25">
      <c r="A92" s="121"/>
      <c r="B92" s="28" t="s">
        <v>132</v>
      </c>
      <c r="C92" s="12"/>
      <c r="D92" s="11"/>
      <c r="E92" s="13"/>
      <c r="F92" s="27"/>
      <c r="G92" s="15"/>
      <c r="H92" s="15"/>
      <c r="I92" s="16"/>
      <c r="J92" s="17"/>
      <c r="K92" s="17"/>
      <c r="L92" s="17"/>
      <c r="M92" s="17"/>
      <c r="N92" s="18"/>
      <c r="O92" s="17"/>
      <c r="P92" s="17"/>
      <c r="Q92" s="17"/>
      <c r="R92" s="17"/>
      <c r="S92" s="17"/>
      <c r="T92" s="19"/>
      <c r="U92" s="15"/>
      <c r="V92" s="20"/>
      <c r="W92" s="21"/>
      <c r="X92" s="15"/>
      <c r="Y92" s="22"/>
    </row>
    <row r="93" spans="1:25" s="23" customFormat="1" x14ac:dyDescent="0.25">
      <c r="A93" s="121">
        <v>60</v>
      </c>
      <c r="B93" s="12" t="s">
        <v>133</v>
      </c>
      <c r="C93" s="12" t="s">
        <v>134</v>
      </c>
      <c r="D93" s="11">
        <v>15</v>
      </c>
      <c r="E93" s="13">
        <f t="shared" si="45"/>
        <v>133.66666666666666</v>
      </c>
      <c r="F93" s="27">
        <v>2005</v>
      </c>
      <c r="G93" s="15">
        <v>0</v>
      </c>
      <c r="H93" s="15">
        <f>TRUNC(SUM(D93*E93)+G93,2)</f>
        <v>2005</v>
      </c>
      <c r="I93" s="16"/>
      <c r="J93" s="17">
        <v>0</v>
      </c>
      <c r="K93" s="17">
        <f>H93+J93</f>
        <v>2005</v>
      </c>
      <c r="L93" s="17">
        <f>VLOOKUP(K93,Tarifa1,1)</f>
        <v>244.81</v>
      </c>
      <c r="M93" s="17">
        <f>K93-L93</f>
        <v>1760.19</v>
      </c>
      <c r="N93" s="18">
        <f>VLOOKUP(K93,Tarifa1,3)</f>
        <v>6.4000000000000001E-2</v>
      </c>
      <c r="O93" s="17">
        <f>M93*N93</f>
        <v>112.65216000000001</v>
      </c>
      <c r="P93" s="17">
        <f>VLOOKUP(K93,Tarifa1,2)</f>
        <v>4.6500000000000004</v>
      </c>
      <c r="Q93" s="17">
        <f>O93+P93</f>
        <v>117.30216000000001</v>
      </c>
      <c r="R93" s="17">
        <f>VLOOKUP(K93,Credito1,2)</f>
        <v>188.7</v>
      </c>
      <c r="S93" s="17">
        <f>Q93-R93</f>
        <v>-71.397839999999974</v>
      </c>
      <c r="T93" s="19"/>
      <c r="U93" s="15">
        <f>-IF(S93&gt;0,0,S93)</f>
        <v>71.397839999999974</v>
      </c>
      <c r="V93" s="20">
        <f>IF(S93&lt;0,0,S93)</f>
        <v>0</v>
      </c>
      <c r="W93" s="21">
        <v>0</v>
      </c>
      <c r="X93" s="15">
        <f>SUM(V93:W93)</f>
        <v>0</v>
      </c>
      <c r="Y93" s="22">
        <f>H93+U93-X93</f>
        <v>2076.3978400000001</v>
      </c>
    </row>
    <row r="94" spans="1:25" s="23" customFormat="1" x14ac:dyDescent="0.25">
      <c r="A94" s="121"/>
      <c r="B94" s="28" t="s">
        <v>135</v>
      </c>
      <c r="C94" s="12"/>
      <c r="D94" s="11"/>
      <c r="E94" s="13"/>
      <c r="F94" s="27"/>
      <c r="G94" s="15"/>
      <c r="H94" s="15"/>
      <c r="I94" s="16"/>
      <c r="J94" s="17"/>
      <c r="K94" s="17"/>
      <c r="L94" s="17"/>
      <c r="M94" s="17"/>
      <c r="N94" s="18"/>
      <c r="O94" s="17"/>
      <c r="P94" s="17"/>
      <c r="Q94" s="17"/>
      <c r="R94" s="17"/>
      <c r="S94" s="17"/>
      <c r="T94" s="19"/>
      <c r="U94" s="15"/>
      <c r="V94" s="20"/>
      <c r="W94" s="21"/>
      <c r="X94" s="15"/>
      <c r="Y94" s="22"/>
    </row>
    <row r="95" spans="1:25" s="23" customFormat="1" ht="26.25" x14ac:dyDescent="0.25">
      <c r="A95" s="121">
        <v>61</v>
      </c>
      <c r="B95" s="12" t="s">
        <v>136</v>
      </c>
      <c r="C95" s="12" t="s">
        <v>137</v>
      </c>
      <c r="D95" s="11">
        <v>15</v>
      </c>
      <c r="E95" s="13">
        <f>F95/15</f>
        <v>178.53333333333333</v>
      </c>
      <c r="F95" s="27">
        <v>2678</v>
      </c>
      <c r="G95" s="15">
        <v>0</v>
      </c>
      <c r="H95" s="15">
        <f>TRUNC(SUM(D95*E95)+G95,2)</f>
        <v>2678</v>
      </c>
      <c r="I95" s="16"/>
      <c r="J95" s="17">
        <v>0</v>
      </c>
      <c r="K95" s="17">
        <f>H95+J95</f>
        <v>2678</v>
      </c>
      <c r="L95" s="17">
        <f>VLOOKUP(K95,Tarifa1,1)</f>
        <v>2077.5100000000002</v>
      </c>
      <c r="M95" s="17">
        <f>K95-L95</f>
        <v>600.48999999999978</v>
      </c>
      <c r="N95" s="18">
        <f>VLOOKUP(K95,Tarifa1,3)</f>
        <v>0.10879999999999999</v>
      </c>
      <c r="O95" s="17">
        <f>M95*N95</f>
        <v>65.333311999999978</v>
      </c>
      <c r="P95" s="17">
        <f>VLOOKUP(K95,Tarifa1,2)</f>
        <v>121.95</v>
      </c>
      <c r="Q95" s="17">
        <f>O95+P95</f>
        <v>187.28331199999997</v>
      </c>
      <c r="R95" s="17">
        <f>VLOOKUP(K95,Credito1,2)</f>
        <v>145.35</v>
      </c>
      <c r="S95" s="17">
        <f>Q95-R95</f>
        <v>41.933311999999972</v>
      </c>
      <c r="T95" s="19"/>
      <c r="U95" s="15">
        <f>-IF(S95&gt;0,0,S95)</f>
        <v>0</v>
      </c>
      <c r="V95" s="20">
        <f>IF(S95&lt;0,0,S95)</f>
        <v>41.933311999999972</v>
      </c>
      <c r="W95" s="21">
        <v>0</v>
      </c>
      <c r="X95" s="15">
        <f>SUM(V95:W95)</f>
        <v>41.933311999999972</v>
      </c>
      <c r="Y95" s="22">
        <f>H95+U95-X95</f>
        <v>2636.0666879999999</v>
      </c>
    </row>
    <row r="96" spans="1:25" s="23" customFormat="1" ht="26.25" x14ac:dyDescent="0.25">
      <c r="A96" s="121">
        <v>62</v>
      </c>
      <c r="B96" s="12" t="s">
        <v>138</v>
      </c>
      <c r="C96" s="12" t="s">
        <v>139</v>
      </c>
      <c r="D96" s="11">
        <v>15</v>
      </c>
      <c r="E96" s="13">
        <f>F96/15</f>
        <v>133.66666666666666</v>
      </c>
      <c r="F96" s="27">
        <v>2005</v>
      </c>
      <c r="G96" s="15">
        <v>0</v>
      </c>
      <c r="H96" s="15">
        <f>TRUNC(SUM(D96*E96)+G96,2)</f>
        <v>2005</v>
      </c>
      <c r="I96" s="16"/>
      <c r="J96" s="17">
        <v>0</v>
      </c>
      <c r="K96" s="17">
        <f>H96+J96</f>
        <v>2005</v>
      </c>
      <c r="L96" s="17">
        <f>VLOOKUP(K96,Tarifa1,1)</f>
        <v>244.81</v>
      </c>
      <c r="M96" s="17">
        <f>K96-L96</f>
        <v>1760.19</v>
      </c>
      <c r="N96" s="18">
        <f>VLOOKUP(K96,Tarifa1,3)</f>
        <v>6.4000000000000001E-2</v>
      </c>
      <c r="O96" s="17">
        <f>M96*N96</f>
        <v>112.65216000000001</v>
      </c>
      <c r="P96" s="17">
        <f>VLOOKUP(K96,Tarifa1,2)</f>
        <v>4.6500000000000004</v>
      </c>
      <c r="Q96" s="17">
        <f>O96+P96</f>
        <v>117.30216000000001</v>
      </c>
      <c r="R96" s="17">
        <f>VLOOKUP(K96,Credito1,2)</f>
        <v>188.7</v>
      </c>
      <c r="S96" s="17">
        <f>Q96-R96</f>
        <v>-71.397839999999974</v>
      </c>
      <c r="T96" s="19"/>
      <c r="U96" s="15">
        <f>-IF(S96&gt;0,0,S96)</f>
        <v>71.397839999999974</v>
      </c>
      <c r="V96" s="20">
        <f>IF(S96&lt;0,0,S96)</f>
        <v>0</v>
      </c>
      <c r="W96" s="21">
        <v>0</v>
      </c>
      <c r="X96" s="15">
        <f>SUM(V96:W96)</f>
        <v>0</v>
      </c>
      <c r="Y96" s="22">
        <f>H96+U96-X96</f>
        <v>2076.3978400000001</v>
      </c>
    </row>
    <row r="97" spans="1:25" s="23" customFormat="1" x14ac:dyDescent="0.25">
      <c r="A97" s="121">
        <v>63</v>
      </c>
      <c r="B97" s="12" t="s">
        <v>140</v>
      </c>
      <c r="C97" s="12" t="s">
        <v>141</v>
      </c>
      <c r="D97" s="11">
        <v>15</v>
      </c>
      <c r="E97" s="13">
        <f>F97/15</f>
        <v>137.93333333333334</v>
      </c>
      <c r="F97" s="27">
        <v>2069</v>
      </c>
      <c r="G97" s="15">
        <v>0</v>
      </c>
      <c r="H97" s="15">
        <f>TRUNC(SUM(D97*E97)+G97,2)</f>
        <v>2069</v>
      </c>
      <c r="I97" s="16"/>
      <c r="J97" s="17">
        <v>0</v>
      </c>
      <c r="K97" s="17">
        <f>H97+J97</f>
        <v>2069</v>
      </c>
      <c r="L97" s="17">
        <f>VLOOKUP(K97,Tarifa1,1)</f>
        <v>244.81</v>
      </c>
      <c r="M97" s="17">
        <f>K97-L97</f>
        <v>1824.19</v>
      </c>
      <c r="N97" s="18">
        <f>VLOOKUP(K97,Tarifa1,3)</f>
        <v>6.4000000000000001E-2</v>
      </c>
      <c r="O97" s="17">
        <f>M97*N97</f>
        <v>116.74816000000001</v>
      </c>
      <c r="P97" s="17">
        <f>VLOOKUP(K97,Tarifa1,2)</f>
        <v>4.6500000000000004</v>
      </c>
      <c r="Q97" s="17">
        <f>O97+P97</f>
        <v>121.39816000000002</v>
      </c>
      <c r="R97" s="17">
        <f>VLOOKUP(K97,Credito1,2)</f>
        <v>188.7</v>
      </c>
      <c r="S97" s="17">
        <f>Q97-R97</f>
        <v>-67.30183999999997</v>
      </c>
      <c r="T97" s="19"/>
      <c r="U97" s="15">
        <f>-IF(S97&gt;0,0,S97)</f>
        <v>67.30183999999997</v>
      </c>
      <c r="V97" s="20">
        <f>IF(S97&lt;0,0,S97)</f>
        <v>0</v>
      </c>
      <c r="W97" s="21">
        <v>0</v>
      </c>
      <c r="X97" s="15">
        <f>SUM(V97:W97)</f>
        <v>0</v>
      </c>
      <c r="Y97" s="22">
        <f>H97+U97-X97</f>
        <v>2136.3018400000001</v>
      </c>
    </row>
    <row r="98" spans="1:25" s="23" customFormat="1" x14ac:dyDescent="0.25">
      <c r="A98" s="121">
        <v>64</v>
      </c>
      <c r="B98" s="12" t="s">
        <v>142</v>
      </c>
      <c r="C98" s="12" t="s">
        <v>143</v>
      </c>
      <c r="D98" s="11">
        <v>15</v>
      </c>
      <c r="E98" s="13">
        <f>F98/15</f>
        <v>165.06666666666666</v>
      </c>
      <c r="F98" s="27">
        <v>2476</v>
      </c>
      <c r="G98" s="15">
        <v>0</v>
      </c>
      <c r="H98" s="15">
        <f>TRUNC(SUM(D98*E98)+G98,2)</f>
        <v>2476</v>
      </c>
      <c r="I98" s="16"/>
      <c r="J98" s="17">
        <v>0</v>
      </c>
      <c r="K98" s="17">
        <f>H98+J98</f>
        <v>2476</v>
      </c>
      <c r="L98" s="17">
        <f>VLOOKUP(K98,Tarifa1,1)</f>
        <v>2077.5100000000002</v>
      </c>
      <c r="M98" s="17">
        <f>K98-L98</f>
        <v>398.48999999999978</v>
      </c>
      <c r="N98" s="18">
        <f>VLOOKUP(K98,Tarifa1,3)</f>
        <v>0.10879999999999999</v>
      </c>
      <c r="O98" s="17">
        <f>M98*N98</f>
        <v>43.355711999999976</v>
      </c>
      <c r="P98" s="17">
        <f>VLOOKUP(K98,Tarifa1,2)</f>
        <v>121.95</v>
      </c>
      <c r="Q98" s="17">
        <f>O98+P98</f>
        <v>165.30571199999997</v>
      </c>
      <c r="R98" s="17">
        <f>VLOOKUP(K98,Credito1,2)</f>
        <v>160.35</v>
      </c>
      <c r="S98" s="17">
        <f>Q98-R98</f>
        <v>4.955711999999977</v>
      </c>
      <c r="T98" s="19"/>
      <c r="U98" s="15">
        <f>-IF(S98&gt;0,0,S98)</f>
        <v>0</v>
      </c>
      <c r="V98" s="20">
        <f>IF(S98&lt;0,0,S98)</f>
        <v>4.955711999999977</v>
      </c>
      <c r="W98" s="21">
        <v>0</v>
      </c>
      <c r="X98" s="15">
        <f>SUM(V98:W98)</f>
        <v>4.955711999999977</v>
      </c>
      <c r="Y98" s="22">
        <f>H98+U98-X98</f>
        <v>2471.0442880000001</v>
      </c>
    </row>
    <row r="99" spans="1:25" s="23" customFormat="1" x14ac:dyDescent="0.25">
      <c r="A99" s="121"/>
      <c r="B99" s="28" t="s">
        <v>144</v>
      </c>
      <c r="C99" s="12"/>
      <c r="D99" s="11"/>
      <c r="E99" s="13"/>
      <c r="F99" s="27"/>
      <c r="G99" s="15"/>
      <c r="H99" s="15"/>
      <c r="I99" s="16"/>
      <c r="J99" s="17"/>
      <c r="K99" s="17"/>
      <c r="L99" s="17"/>
      <c r="M99" s="17"/>
      <c r="N99" s="18"/>
      <c r="O99" s="17"/>
      <c r="P99" s="17"/>
      <c r="Q99" s="17"/>
      <c r="R99" s="17"/>
      <c r="S99" s="17"/>
      <c r="T99" s="19"/>
      <c r="U99" s="15"/>
      <c r="V99" s="20"/>
      <c r="W99" s="21"/>
      <c r="X99" s="15"/>
      <c r="Y99" s="22"/>
    </row>
    <row r="100" spans="1:25" s="23" customFormat="1" x14ac:dyDescent="0.25">
      <c r="A100" s="121">
        <v>65</v>
      </c>
      <c r="B100" s="12" t="s">
        <v>145</v>
      </c>
      <c r="C100" s="12" t="s">
        <v>146</v>
      </c>
      <c r="D100" s="11">
        <v>15</v>
      </c>
      <c r="E100" s="13">
        <f>F100/15</f>
        <v>288.42666666666662</v>
      </c>
      <c r="F100" s="27">
        <v>4326.3999999999996</v>
      </c>
      <c r="G100" s="15">
        <v>0</v>
      </c>
      <c r="H100" s="15">
        <f>TRUNC(SUM(D100*E100)+G100,2)</f>
        <v>4326.3999999999996</v>
      </c>
      <c r="I100" s="16"/>
      <c r="J100" s="17">
        <v>0</v>
      </c>
      <c r="K100" s="17">
        <f>H100+J100</f>
        <v>4326.3999999999996</v>
      </c>
      <c r="L100" s="17">
        <f>VLOOKUP(K100,Tarifa1,1)</f>
        <v>4244.1099999999997</v>
      </c>
      <c r="M100" s="17">
        <f>K100-L100</f>
        <v>82.289999999999964</v>
      </c>
      <c r="N100" s="18">
        <f>VLOOKUP(K100,Tarifa1,3)</f>
        <v>0.1792</v>
      </c>
      <c r="O100" s="17">
        <f>M100*N100</f>
        <v>14.746367999999993</v>
      </c>
      <c r="P100" s="17">
        <f>VLOOKUP(K100,Tarifa1,2)</f>
        <v>388.05</v>
      </c>
      <c r="Q100" s="17">
        <f>O100+P100</f>
        <v>402.79636800000003</v>
      </c>
      <c r="R100" s="17">
        <f>VLOOKUP(K100,Credito1,2)</f>
        <v>0</v>
      </c>
      <c r="S100" s="17">
        <f>Q100-R100</f>
        <v>402.79636800000003</v>
      </c>
      <c r="T100" s="19"/>
      <c r="U100" s="15">
        <f>-IF(S100&gt;0,0,S100)</f>
        <v>0</v>
      </c>
      <c r="V100" s="20">
        <f>IF(S100&lt;0,0,S100)</f>
        <v>402.79636800000003</v>
      </c>
      <c r="W100" s="21">
        <v>0</v>
      </c>
      <c r="X100" s="15">
        <f>SUM(V100:W100)</f>
        <v>402.79636800000003</v>
      </c>
      <c r="Y100" s="22">
        <f>H100+U100-X100</f>
        <v>3923.6036319999994</v>
      </c>
    </row>
    <row r="101" spans="1:25" s="23" customFormat="1" x14ac:dyDescent="0.25">
      <c r="A101" s="121"/>
      <c r="B101" s="28" t="s">
        <v>147</v>
      </c>
      <c r="C101" s="12"/>
      <c r="D101" s="11"/>
      <c r="E101" s="13"/>
      <c r="F101" s="27"/>
      <c r="G101" s="15"/>
      <c r="H101" s="15"/>
      <c r="I101" s="16"/>
      <c r="J101" s="17"/>
      <c r="K101" s="17"/>
      <c r="L101" s="17"/>
      <c r="M101" s="17"/>
      <c r="N101" s="18"/>
      <c r="O101" s="17"/>
      <c r="P101" s="17"/>
      <c r="Q101" s="17"/>
      <c r="R101" s="17"/>
      <c r="S101" s="17"/>
      <c r="T101" s="19"/>
      <c r="U101" s="15"/>
      <c r="V101" s="20"/>
      <c r="W101" s="21"/>
      <c r="X101" s="15"/>
      <c r="Y101" s="22"/>
    </row>
    <row r="102" spans="1:25" s="23" customFormat="1" ht="26.25" x14ac:dyDescent="0.25">
      <c r="A102" s="121">
        <v>66</v>
      </c>
      <c r="B102" s="12" t="s">
        <v>148</v>
      </c>
      <c r="C102" s="12" t="s">
        <v>68</v>
      </c>
      <c r="D102" s="11">
        <v>15</v>
      </c>
      <c r="E102" s="13">
        <f>F102/15</f>
        <v>221.86666666666667</v>
      </c>
      <c r="F102" s="27">
        <v>3328</v>
      </c>
      <c r="G102" s="15">
        <v>0</v>
      </c>
      <c r="H102" s="15">
        <f>TRUNC(SUM(D102*E102)+G102,2)</f>
        <v>3328</v>
      </c>
      <c r="I102" s="16"/>
      <c r="J102" s="17">
        <v>0</v>
      </c>
      <c r="K102" s="17">
        <f>H102+J102</f>
        <v>3328</v>
      </c>
      <c r="L102" s="17">
        <f>VLOOKUP(K102,Tarifa1,1)</f>
        <v>2077.5100000000002</v>
      </c>
      <c r="M102" s="17">
        <f>K102-L102</f>
        <v>1250.4899999999998</v>
      </c>
      <c r="N102" s="18">
        <f>VLOOKUP(K102,Tarifa1,3)</f>
        <v>0.10879999999999999</v>
      </c>
      <c r="O102" s="17">
        <f>M102*N102</f>
        <v>136.05331199999998</v>
      </c>
      <c r="P102" s="17">
        <f>VLOOKUP(K102,Tarifa1,2)</f>
        <v>121.95</v>
      </c>
      <c r="Q102" s="17">
        <f>O102+P102</f>
        <v>258.00331199999999</v>
      </c>
      <c r="R102" s="17">
        <f>VLOOKUP(K102,Credito1,2)</f>
        <v>125.1</v>
      </c>
      <c r="S102" s="17">
        <f>Q102-R102</f>
        <v>132.903312</v>
      </c>
      <c r="T102" s="19"/>
      <c r="U102" s="15">
        <f>-IF(S102&gt;0,0,S102)</f>
        <v>0</v>
      </c>
      <c r="V102" s="20">
        <f>IF(S102&lt;0,0,S102)</f>
        <v>132.903312</v>
      </c>
      <c r="W102" s="21">
        <v>0</v>
      </c>
      <c r="X102" s="15">
        <f>SUM(V102:W102)</f>
        <v>132.903312</v>
      </c>
      <c r="Y102" s="22">
        <f>H102+U102-X102</f>
        <v>3195.0966880000001</v>
      </c>
    </row>
    <row r="103" spans="1:25" s="23" customFormat="1" x14ac:dyDescent="0.25">
      <c r="A103" s="121"/>
      <c r="B103" s="12"/>
      <c r="C103" s="12"/>
      <c r="D103" s="11"/>
      <c r="E103" s="13"/>
      <c r="F103" s="27"/>
      <c r="G103" s="15"/>
      <c r="H103" s="15"/>
      <c r="I103" s="16"/>
      <c r="J103" s="17"/>
      <c r="K103" s="17"/>
      <c r="L103" s="17"/>
      <c r="M103" s="17"/>
      <c r="N103" s="18"/>
      <c r="O103" s="17"/>
      <c r="P103" s="17"/>
      <c r="Q103" s="17"/>
      <c r="R103" s="17"/>
      <c r="S103" s="17"/>
      <c r="T103" s="19"/>
      <c r="U103" s="15"/>
      <c r="V103" s="20"/>
      <c r="W103" s="21"/>
      <c r="X103" s="15"/>
      <c r="Y103" s="22"/>
    </row>
    <row r="104" spans="1:25" s="23" customFormat="1" x14ac:dyDescent="0.25">
      <c r="A104" s="121"/>
      <c r="B104" s="28" t="s">
        <v>149</v>
      </c>
      <c r="C104" s="12"/>
      <c r="D104" s="11"/>
      <c r="E104" s="13"/>
      <c r="F104" s="27"/>
      <c r="G104" s="15"/>
      <c r="H104" s="15"/>
      <c r="I104" s="16"/>
      <c r="J104" s="17"/>
      <c r="K104" s="17"/>
      <c r="L104" s="17"/>
      <c r="M104" s="17"/>
      <c r="N104" s="18"/>
      <c r="O104" s="17"/>
      <c r="P104" s="17"/>
      <c r="Q104" s="17"/>
      <c r="R104" s="17"/>
      <c r="S104" s="17"/>
      <c r="T104" s="19"/>
      <c r="U104" s="15"/>
      <c r="V104" s="20"/>
      <c r="W104" s="21"/>
      <c r="X104" s="15"/>
      <c r="Y104" s="22"/>
    </row>
    <row r="105" spans="1:25" s="23" customFormat="1" ht="26.25" x14ac:dyDescent="0.25">
      <c r="A105" s="121">
        <v>67</v>
      </c>
      <c r="B105" s="12" t="s">
        <v>150</v>
      </c>
      <c r="C105" s="12" t="s">
        <v>151</v>
      </c>
      <c r="D105" s="11">
        <v>15</v>
      </c>
      <c r="E105" s="13">
        <f>F105/15</f>
        <v>233.33333333333334</v>
      </c>
      <c r="F105" s="27">
        <v>3500</v>
      </c>
      <c r="G105" s="15">
        <v>0</v>
      </c>
      <c r="H105" s="15">
        <f>TRUNC(SUM(D105*E105)+G105,2)</f>
        <v>3500</v>
      </c>
      <c r="I105" s="16"/>
      <c r="J105" s="17">
        <v>0</v>
      </c>
      <c r="K105" s="17">
        <f>H105+J105</f>
        <v>3500</v>
      </c>
      <c r="L105" s="17">
        <f>VLOOKUP(K105,Tarifa1,1)</f>
        <v>2077.5100000000002</v>
      </c>
      <c r="M105" s="17">
        <f>K105-L105</f>
        <v>1422.4899999999998</v>
      </c>
      <c r="N105" s="18">
        <f>VLOOKUP(K105,Tarifa1,3)</f>
        <v>0.10879999999999999</v>
      </c>
      <c r="O105" s="17">
        <f>M105*N105</f>
        <v>154.76691199999996</v>
      </c>
      <c r="P105" s="17">
        <f>VLOOKUP(K105,Tarifa1,2)</f>
        <v>121.95</v>
      </c>
      <c r="Q105" s="17">
        <f>O105+P105</f>
        <v>276.71691199999998</v>
      </c>
      <c r="R105" s="17">
        <f>VLOOKUP(K105,Credito1,2)</f>
        <v>125.1</v>
      </c>
      <c r="S105" s="17">
        <f>Q105-R105</f>
        <v>151.61691199999999</v>
      </c>
      <c r="T105" s="19"/>
      <c r="U105" s="15">
        <f>-IF(S105&gt;0,0,S105)</f>
        <v>0</v>
      </c>
      <c r="V105" s="20">
        <f>IF(S105&lt;0,0,S105)</f>
        <v>151.61691199999999</v>
      </c>
      <c r="W105" s="21">
        <v>0</v>
      </c>
      <c r="X105" s="15">
        <f>SUM(V105:W105)</f>
        <v>151.61691199999999</v>
      </c>
      <c r="Y105" s="22">
        <f>H105+U105-X105</f>
        <v>3348.383088</v>
      </c>
    </row>
    <row r="106" spans="1:25" s="23" customFormat="1" x14ac:dyDescent="0.25">
      <c r="A106" s="121"/>
      <c r="B106" s="28" t="s">
        <v>152</v>
      </c>
      <c r="C106" s="12"/>
      <c r="D106" s="11"/>
      <c r="E106" s="13"/>
      <c r="F106" s="27"/>
      <c r="G106" s="15"/>
      <c r="H106" s="15"/>
      <c r="I106" s="16"/>
      <c r="J106" s="17"/>
      <c r="K106" s="17"/>
      <c r="L106" s="17"/>
      <c r="M106" s="17"/>
      <c r="N106" s="18"/>
      <c r="O106" s="17"/>
      <c r="P106" s="17"/>
      <c r="Q106" s="17"/>
      <c r="R106" s="17"/>
      <c r="S106" s="17"/>
      <c r="T106" s="19"/>
      <c r="U106" s="15"/>
      <c r="V106" s="20"/>
      <c r="W106" s="21"/>
      <c r="X106" s="15"/>
      <c r="Y106" s="22"/>
    </row>
    <row r="107" spans="1:25" s="23" customFormat="1" ht="26.25" x14ac:dyDescent="0.25">
      <c r="A107" s="121">
        <v>68</v>
      </c>
      <c r="B107" s="12" t="s">
        <v>153</v>
      </c>
      <c r="C107" s="12" t="s">
        <v>154</v>
      </c>
      <c r="D107" s="11">
        <v>15</v>
      </c>
      <c r="E107" s="13">
        <f>F107/15</f>
        <v>37.733333333333334</v>
      </c>
      <c r="F107" s="27">
        <v>566</v>
      </c>
      <c r="G107" s="15">
        <v>0</v>
      </c>
      <c r="H107" s="15">
        <f>TRUNC(SUM(D107*E107)+G107,2)</f>
        <v>566</v>
      </c>
      <c r="I107" s="16"/>
      <c r="J107" s="17">
        <v>0</v>
      </c>
      <c r="K107" s="17">
        <f>H107+J107</f>
        <v>566</v>
      </c>
      <c r="L107" s="17">
        <f>VLOOKUP(K107,Tarifa1,1)</f>
        <v>244.81</v>
      </c>
      <c r="M107" s="17">
        <f>K107-L107</f>
        <v>321.19</v>
      </c>
      <c r="N107" s="18">
        <f>VLOOKUP(K107,Tarifa1,3)</f>
        <v>6.4000000000000001E-2</v>
      </c>
      <c r="O107" s="17">
        <f>M107*N107</f>
        <v>20.556160000000002</v>
      </c>
      <c r="P107" s="17">
        <f>VLOOKUP(K107,Tarifa1,2)</f>
        <v>4.6500000000000004</v>
      </c>
      <c r="Q107" s="17">
        <f>O107+P107</f>
        <v>25.206160000000004</v>
      </c>
      <c r="R107" s="17">
        <f>VLOOKUP(K107,Credito1,2)</f>
        <v>200.85</v>
      </c>
      <c r="S107" s="17">
        <f>Q107-R107</f>
        <v>-175.64383999999998</v>
      </c>
      <c r="T107" s="19"/>
      <c r="U107" s="15">
        <f>-IF(S107&gt;0,0,S107)</f>
        <v>175.64383999999998</v>
      </c>
      <c r="V107" s="20">
        <f>IF(S107&lt;0,0,S107)</f>
        <v>0</v>
      </c>
      <c r="W107" s="21">
        <v>0</v>
      </c>
      <c r="X107" s="15">
        <f>SUM(V107:W107)</f>
        <v>0</v>
      </c>
      <c r="Y107" s="22">
        <f>H107+U107-X107</f>
        <v>741.64383999999995</v>
      </c>
    </row>
    <row r="108" spans="1:25" s="23" customFormat="1" ht="26.25" x14ac:dyDescent="0.25">
      <c r="A108" s="121">
        <v>69</v>
      </c>
      <c r="B108" s="12" t="s">
        <v>155</v>
      </c>
      <c r="C108" s="12" t="s">
        <v>156</v>
      </c>
      <c r="D108" s="11">
        <v>15</v>
      </c>
      <c r="E108" s="13">
        <f>F108/15</f>
        <v>67.400000000000006</v>
      </c>
      <c r="F108" s="27">
        <v>1011</v>
      </c>
      <c r="G108" s="15">
        <v>0</v>
      </c>
      <c r="H108" s="15">
        <f>TRUNC(SUM(D108*E108)+G108,2)</f>
        <v>1011</v>
      </c>
      <c r="I108" s="16"/>
      <c r="J108" s="17">
        <v>0</v>
      </c>
      <c r="K108" s="17">
        <f>H108+J108</f>
        <v>1011</v>
      </c>
      <c r="L108" s="17">
        <f>VLOOKUP(K108,Tarifa1,1)</f>
        <v>244.81</v>
      </c>
      <c r="M108" s="17">
        <f>K108-L108</f>
        <v>766.19</v>
      </c>
      <c r="N108" s="18">
        <f>VLOOKUP(K108,Tarifa1,3)</f>
        <v>6.4000000000000001E-2</v>
      </c>
      <c r="O108" s="17">
        <f>M108*N108</f>
        <v>49.036160000000002</v>
      </c>
      <c r="P108" s="17">
        <f>VLOOKUP(K108,Tarifa1,2)</f>
        <v>4.6500000000000004</v>
      </c>
      <c r="Q108" s="17">
        <f>O108+P108</f>
        <v>53.686160000000001</v>
      </c>
      <c r="R108" s="17">
        <f>VLOOKUP(K108,Credito1,2)</f>
        <v>200.7</v>
      </c>
      <c r="S108" s="17">
        <f>Q108-R108</f>
        <v>-147.01383999999999</v>
      </c>
      <c r="T108" s="19"/>
      <c r="U108" s="15">
        <f>-IF(S108&gt;0,0,S108)</f>
        <v>147.01383999999999</v>
      </c>
      <c r="V108" s="20">
        <f>IF(S108&lt;0,0,S108)</f>
        <v>0</v>
      </c>
      <c r="W108" s="21">
        <v>0</v>
      </c>
      <c r="X108" s="15">
        <f>SUM(V108:W108)</f>
        <v>0</v>
      </c>
      <c r="Y108" s="22">
        <f>H108+U108-X108</f>
        <v>1158.0138400000001</v>
      </c>
    </row>
    <row r="109" spans="1:25" s="23" customFormat="1" x14ac:dyDescent="0.25">
      <c r="A109" s="124"/>
      <c r="B109" s="48" t="s">
        <v>157</v>
      </c>
      <c r="C109" s="49"/>
      <c r="D109" s="47"/>
      <c r="E109" s="33"/>
      <c r="F109" s="33"/>
      <c r="G109" s="33"/>
      <c r="H109" s="33"/>
      <c r="I109" s="50"/>
      <c r="J109" s="51"/>
      <c r="K109" s="51"/>
      <c r="L109" s="51"/>
      <c r="M109" s="51"/>
      <c r="N109" s="51"/>
      <c r="O109" s="51"/>
      <c r="P109" s="51"/>
      <c r="Q109" s="51"/>
      <c r="R109" s="51"/>
      <c r="S109" s="52"/>
      <c r="T109" s="26"/>
      <c r="U109" s="33"/>
      <c r="V109" s="33"/>
      <c r="W109" s="33"/>
      <c r="X109" s="33"/>
      <c r="Y109" s="33"/>
    </row>
    <row r="110" spans="1:25" s="23" customFormat="1" ht="26.25" x14ac:dyDescent="0.25">
      <c r="A110" s="121">
        <v>70</v>
      </c>
      <c r="B110" s="12" t="s">
        <v>158</v>
      </c>
      <c r="C110" s="12" t="s">
        <v>159</v>
      </c>
      <c r="D110" s="11">
        <v>15</v>
      </c>
      <c r="E110" s="13">
        <f t="shared" ref="E110:E120" si="56">F110/15</f>
        <v>76.599999999999994</v>
      </c>
      <c r="F110" s="27">
        <v>1149</v>
      </c>
      <c r="G110" s="15">
        <v>0</v>
      </c>
      <c r="H110" s="15">
        <f t="shared" ref="H110:H116" si="57">TRUNC(SUM(D110*E110)+G110,2)</f>
        <v>1149</v>
      </c>
      <c r="I110" s="16"/>
      <c r="J110" s="17">
        <v>0</v>
      </c>
      <c r="K110" s="17">
        <f t="shared" ref="K110:K116" si="58">H110+J110</f>
        <v>1149</v>
      </c>
      <c r="L110" s="17">
        <f t="shared" ref="L110:L116" si="59">VLOOKUP(K110,Tarifa1,1)</f>
        <v>244.81</v>
      </c>
      <c r="M110" s="17">
        <f t="shared" ref="M110:M116" si="60">K110-L110</f>
        <v>904.19</v>
      </c>
      <c r="N110" s="18">
        <f t="shared" ref="N110:N116" si="61">VLOOKUP(K110,Tarifa1,3)</f>
        <v>6.4000000000000001E-2</v>
      </c>
      <c r="O110" s="17">
        <f t="shared" ref="O110:O116" si="62">M110*N110</f>
        <v>57.868160000000003</v>
      </c>
      <c r="P110" s="17">
        <f t="shared" ref="P110:P116" si="63">VLOOKUP(K110,Tarifa1,2)</f>
        <v>4.6500000000000004</v>
      </c>
      <c r="Q110" s="17">
        <f t="shared" ref="Q110:Q116" si="64">O110+P110</f>
        <v>62.518160000000002</v>
      </c>
      <c r="R110" s="17">
        <f t="shared" ref="R110:R116" si="65">VLOOKUP(K110,Credito1,2)</f>
        <v>200.7</v>
      </c>
      <c r="S110" s="17">
        <f t="shared" ref="S110:S116" si="66">Q110-R110</f>
        <v>-138.18183999999999</v>
      </c>
      <c r="T110" s="19"/>
      <c r="U110" s="15">
        <f t="shared" ref="U110:U116" si="67">-IF(S110&gt;0,0,S110)</f>
        <v>138.18183999999999</v>
      </c>
      <c r="V110" s="20">
        <f t="shared" ref="V110:V116" si="68">IF(S110&lt;0,0,S110)</f>
        <v>0</v>
      </c>
      <c r="W110" s="21">
        <v>0</v>
      </c>
      <c r="X110" s="15">
        <f>SUM(V110:W110)</f>
        <v>0</v>
      </c>
      <c r="Y110" s="22">
        <f>H110+U110-X110</f>
        <v>1287.18184</v>
      </c>
    </row>
    <row r="111" spans="1:25" s="23" customFormat="1" ht="26.25" x14ac:dyDescent="0.25">
      <c r="A111" s="121">
        <v>71</v>
      </c>
      <c r="B111" s="12" t="s">
        <v>160</v>
      </c>
      <c r="C111" s="12" t="s">
        <v>161</v>
      </c>
      <c r="D111" s="11">
        <v>15</v>
      </c>
      <c r="E111" s="13">
        <f t="shared" si="56"/>
        <v>76.599999999999994</v>
      </c>
      <c r="F111" s="27">
        <v>1149</v>
      </c>
      <c r="G111" s="15">
        <v>0</v>
      </c>
      <c r="H111" s="15">
        <f t="shared" si="57"/>
        <v>1149</v>
      </c>
      <c r="I111" s="16"/>
      <c r="J111" s="17">
        <v>0</v>
      </c>
      <c r="K111" s="17">
        <f t="shared" si="58"/>
        <v>1149</v>
      </c>
      <c r="L111" s="17">
        <f t="shared" si="59"/>
        <v>244.81</v>
      </c>
      <c r="M111" s="17">
        <f t="shared" si="60"/>
        <v>904.19</v>
      </c>
      <c r="N111" s="18">
        <f t="shared" si="61"/>
        <v>6.4000000000000001E-2</v>
      </c>
      <c r="O111" s="17">
        <f t="shared" si="62"/>
        <v>57.868160000000003</v>
      </c>
      <c r="P111" s="17">
        <f t="shared" si="63"/>
        <v>4.6500000000000004</v>
      </c>
      <c r="Q111" s="17">
        <f t="shared" si="64"/>
        <v>62.518160000000002</v>
      </c>
      <c r="R111" s="17">
        <f t="shared" si="65"/>
        <v>200.7</v>
      </c>
      <c r="S111" s="17">
        <f t="shared" si="66"/>
        <v>-138.18183999999999</v>
      </c>
      <c r="T111" s="19"/>
      <c r="U111" s="15">
        <f t="shared" si="67"/>
        <v>138.18183999999999</v>
      </c>
      <c r="V111" s="20">
        <f t="shared" si="68"/>
        <v>0</v>
      </c>
      <c r="W111" s="21">
        <v>0</v>
      </c>
      <c r="X111" s="15">
        <f t="shared" ref="X111:X116" si="69">SUM(V111:W111)</f>
        <v>0</v>
      </c>
      <c r="Y111" s="22">
        <f t="shared" ref="Y111:Y116" si="70">H111+U111-X111</f>
        <v>1287.18184</v>
      </c>
    </row>
    <row r="112" spans="1:25" s="23" customFormat="1" ht="26.25" x14ac:dyDescent="0.25">
      <c r="A112" s="121">
        <v>72</v>
      </c>
      <c r="B112" s="12" t="s">
        <v>162</v>
      </c>
      <c r="C112" s="12" t="s">
        <v>163</v>
      </c>
      <c r="D112" s="11">
        <v>15</v>
      </c>
      <c r="E112" s="13">
        <f t="shared" si="56"/>
        <v>76.599999999999994</v>
      </c>
      <c r="F112" s="27">
        <v>1149</v>
      </c>
      <c r="G112" s="15">
        <v>0</v>
      </c>
      <c r="H112" s="15">
        <f t="shared" si="57"/>
        <v>1149</v>
      </c>
      <c r="I112" s="16"/>
      <c r="J112" s="17">
        <v>0</v>
      </c>
      <c r="K112" s="17">
        <f t="shared" si="58"/>
        <v>1149</v>
      </c>
      <c r="L112" s="17">
        <f t="shared" si="59"/>
        <v>244.81</v>
      </c>
      <c r="M112" s="17">
        <f t="shared" si="60"/>
        <v>904.19</v>
      </c>
      <c r="N112" s="18">
        <f t="shared" si="61"/>
        <v>6.4000000000000001E-2</v>
      </c>
      <c r="O112" s="17">
        <f t="shared" si="62"/>
        <v>57.868160000000003</v>
      </c>
      <c r="P112" s="17">
        <f t="shared" si="63"/>
        <v>4.6500000000000004</v>
      </c>
      <c r="Q112" s="17">
        <f t="shared" si="64"/>
        <v>62.518160000000002</v>
      </c>
      <c r="R112" s="17">
        <f t="shared" si="65"/>
        <v>200.7</v>
      </c>
      <c r="S112" s="17">
        <f t="shared" si="66"/>
        <v>-138.18183999999999</v>
      </c>
      <c r="T112" s="19"/>
      <c r="U112" s="15">
        <f t="shared" si="67"/>
        <v>138.18183999999999</v>
      </c>
      <c r="V112" s="20">
        <f t="shared" si="68"/>
        <v>0</v>
      </c>
      <c r="W112" s="21">
        <v>0</v>
      </c>
      <c r="X112" s="15">
        <f t="shared" si="69"/>
        <v>0</v>
      </c>
      <c r="Y112" s="22">
        <f t="shared" si="70"/>
        <v>1287.18184</v>
      </c>
    </row>
    <row r="113" spans="1:25" s="23" customFormat="1" ht="26.25" x14ac:dyDescent="0.25">
      <c r="A113" s="121">
        <v>73</v>
      </c>
      <c r="B113" s="12" t="s">
        <v>164</v>
      </c>
      <c r="C113" s="12" t="s">
        <v>165</v>
      </c>
      <c r="D113" s="11">
        <v>15</v>
      </c>
      <c r="E113" s="13">
        <f t="shared" si="56"/>
        <v>76.599999999999994</v>
      </c>
      <c r="F113" s="27">
        <v>1149</v>
      </c>
      <c r="G113" s="15">
        <v>0</v>
      </c>
      <c r="H113" s="15">
        <f t="shared" si="57"/>
        <v>1149</v>
      </c>
      <c r="I113" s="16"/>
      <c r="J113" s="17">
        <v>0</v>
      </c>
      <c r="K113" s="17">
        <f t="shared" si="58"/>
        <v>1149</v>
      </c>
      <c r="L113" s="17">
        <f t="shared" si="59"/>
        <v>244.81</v>
      </c>
      <c r="M113" s="17">
        <f t="shared" si="60"/>
        <v>904.19</v>
      </c>
      <c r="N113" s="18">
        <f t="shared" si="61"/>
        <v>6.4000000000000001E-2</v>
      </c>
      <c r="O113" s="17">
        <f t="shared" si="62"/>
        <v>57.868160000000003</v>
      </c>
      <c r="P113" s="17">
        <f t="shared" si="63"/>
        <v>4.6500000000000004</v>
      </c>
      <c r="Q113" s="17">
        <f t="shared" si="64"/>
        <v>62.518160000000002</v>
      </c>
      <c r="R113" s="17">
        <f t="shared" si="65"/>
        <v>200.7</v>
      </c>
      <c r="S113" s="17">
        <f t="shared" si="66"/>
        <v>-138.18183999999999</v>
      </c>
      <c r="T113" s="19"/>
      <c r="U113" s="15">
        <f t="shared" si="67"/>
        <v>138.18183999999999</v>
      </c>
      <c r="V113" s="20">
        <f t="shared" si="68"/>
        <v>0</v>
      </c>
      <c r="W113" s="21">
        <v>0</v>
      </c>
      <c r="X113" s="15">
        <f t="shared" si="69"/>
        <v>0</v>
      </c>
      <c r="Y113" s="22">
        <f t="shared" si="70"/>
        <v>1287.18184</v>
      </c>
    </row>
    <row r="114" spans="1:25" s="23" customFormat="1" ht="26.25" x14ac:dyDescent="0.25">
      <c r="A114" s="121">
        <v>74</v>
      </c>
      <c r="B114" s="12" t="s">
        <v>166</v>
      </c>
      <c r="C114" s="12" t="s">
        <v>167</v>
      </c>
      <c r="D114" s="11">
        <v>15</v>
      </c>
      <c r="E114" s="13">
        <f t="shared" si="56"/>
        <v>76.599999999999994</v>
      </c>
      <c r="F114" s="27">
        <v>1149</v>
      </c>
      <c r="G114" s="15">
        <v>0</v>
      </c>
      <c r="H114" s="15">
        <f t="shared" si="57"/>
        <v>1149</v>
      </c>
      <c r="I114" s="16"/>
      <c r="J114" s="17">
        <v>0</v>
      </c>
      <c r="K114" s="17">
        <f t="shared" si="58"/>
        <v>1149</v>
      </c>
      <c r="L114" s="17">
        <f t="shared" si="59"/>
        <v>244.81</v>
      </c>
      <c r="M114" s="17">
        <f t="shared" si="60"/>
        <v>904.19</v>
      </c>
      <c r="N114" s="18">
        <f t="shared" si="61"/>
        <v>6.4000000000000001E-2</v>
      </c>
      <c r="O114" s="17">
        <f t="shared" si="62"/>
        <v>57.868160000000003</v>
      </c>
      <c r="P114" s="17">
        <f t="shared" si="63"/>
        <v>4.6500000000000004</v>
      </c>
      <c r="Q114" s="17">
        <f t="shared" si="64"/>
        <v>62.518160000000002</v>
      </c>
      <c r="R114" s="17">
        <f t="shared" si="65"/>
        <v>200.7</v>
      </c>
      <c r="S114" s="17">
        <f t="shared" si="66"/>
        <v>-138.18183999999999</v>
      </c>
      <c r="T114" s="19"/>
      <c r="U114" s="15">
        <f t="shared" si="67"/>
        <v>138.18183999999999</v>
      </c>
      <c r="V114" s="20">
        <f t="shared" si="68"/>
        <v>0</v>
      </c>
      <c r="W114" s="21">
        <v>0</v>
      </c>
      <c r="X114" s="15">
        <f t="shared" si="69"/>
        <v>0</v>
      </c>
      <c r="Y114" s="22">
        <f t="shared" si="70"/>
        <v>1287.18184</v>
      </c>
    </row>
    <row r="115" spans="1:25" s="23" customFormat="1" ht="26.25" x14ac:dyDescent="0.25">
      <c r="A115" s="121">
        <v>75</v>
      </c>
      <c r="B115" s="12" t="s">
        <v>168</v>
      </c>
      <c r="C115" s="12" t="s">
        <v>169</v>
      </c>
      <c r="D115" s="11">
        <v>15</v>
      </c>
      <c r="E115" s="13">
        <f t="shared" si="56"/>
        <v>76.599999999999994</v>
      </c>
      <c r="F115" s="27">
        <v>1149</v>
      </c>
      <c r="G115" s="15">
        <v>0</v>
      </c>
      <c r="H115" s="15">
        <f t="shared" si="57"/>
        <v>1149</v>
      </c>
      <c r="I115" s="16"/>
      <c r="J115" s="17">
        <v>0</v>
      </c>
      <c r="K115" s="17">
        <f t="shared" si="58"/>
        <v>1149</v>
      </c>
      <c r="L115" s="17">
        <f t="shared" si="59"/>
        <v>244.81</v>
      </c>
      <c r="M115" s="17">
        <f t="shared" si="60"/>
        <v>904.19</v>
      </c>
      <c r="N115" s="18">
        <f t="shared" si="61"/>
        <v>6.4000000000000001E-2</v>
      </c>
      <c r="O115" s="17">
        <f t="shared" si="62"/>
        <v>57.868160000000003</v>
      </c>
      <c r="P115" s="17">
        <f t="shared" si="63"/>
        <v>4.6500000000000004</v>
      </c>
      <c r="Q115" s="17">
        <f t="shared" si="64"/>
        <v>62.518160000000002</v>
      </c>
      <c r="R115" s="17">
        <f t="shared" si="65"/>
        <v>200.7</v>
      </c>
      <c r="S115" s="17">
        <f t="shared" si="66"/>
        <v>-138.18183999999999</v>
      </c>
      <c r="T115" s="19"/>
      <c r="U115" s="15">
        <f t="shared" si="67"/>
        <v>138.18183999999999</v>
      </c>
      <c r="V115" s="20">
        <f t="shared" si="68"/>
        <v>0</v>
      </c>
      <c r="W115" s="21">
        <v>0</v>
      </c>
      <c r="X115" s="15">
        <f t="shared" si="69"/>
        <v>0</v>
      </c>
      <c r="Y115" s="22">
        <f t="shared" si="70"/>
        <v>1287.18184</v>
      </c>
    </row>
    <row r="116" spans="1:25" s="23" customFormat="1" ht="39" x14ac:dyDescent="0.25">
      <c r="A116" s="121">
        <v>76</v>
      </c>
      <c r="B116" s="12" t="s">
        <v>170</v>
      </c>
      <c r="C116" s="12" t="s">
        <v>171</v>
      </c>
      <c r="D116" s="11">
        <v>15</v>
      </c>
      <c r="E116" s="13">
        <f t="shared" si="56"/>
        <v>76.599999999999994</v>
      </c>
      <c r="F116" s="27">
        <v>1149</v>
      </c>
      <c r="G116" s="15">
        <v>0</v>
      </c>
      <c r="H116" s="15">
        <f t="shared" si="57"/>
        <v>1149</v>
      </c>
      <c r="I116" s="16"/>
      <c r="J116" s="17">
        <v>0</v>
      </c>
      <c r="K116" s="17">
        <f t="shared" si="58"/>
        <v>1149</v>
      </c>
      <c r="L116" s="17">
        <f t="shared" si="59"/>
        <v>244.81</v>
      </c>
      <c r="M116" s="17">
        <f t="shared" si="60"/>
        <v>904.19</v>
      </c>
      <c r="N116" s="18">
        <f t="shared" si="61"/>
        <v>6.4000000000000001E-2</v>
      </c>
      <c r="O116" s="17">
        <f t="shared" si="62"/>
        <v>57.868160000000003</v>
      </c>
      <c r="P116" s="17">
        <f t="shared" si="63"/>
        <v>4.6500000000000004</v>
      </c>
      <c r="Q116" s="17">
        <f t="shared" si="64"/>
        <v>62.518160000000002</v>
      </c>
      <c r="R116" s="17">
        <f t="shared" si="65"/>
        <v>200.7</v>
      </c>
      <c r="S116" s="17">
        <f t="shared" si="66"/>
        <v>-138.18183999999999</v>
      </c>
      <c r="T116" s="19"/>
      <c r="U116" s="15">
        <f t="shared" si="67"/>
        <v>138.18183999999999</v>
      </c>
      <c r="V116" s="20">
        <f t="shared" si="68"/>
        <v>0</v>
      </c>
      <c r="W116" s="21">
        <v>0</v>
      </c>
      <c r="X116" s="15">
        <f t="shared" si="69"/>
        <v>0</v>
      </c>
      <c r="Y116" s="22">
        <f t="shared" si="70"/>
        <v>1287.18184</v>
      </c>
    </row>
    <row r="117" spans="1:25" s="23" customFormat="1" x14ac:dyDescent="0.25">
      <c r="A117" s="121"/>
      <c r="B117" s="28" t="s">
        <v>172</v>
      </c>
      <c r="C117" s="12"/>
      <c r="D117" s="11"/>
      <c r="E117" s="13"/>
      <c r="F117" s="27"/>
      <c r="G117" s="15"/>
      <c r="H117" s="15"/>
      <c r="I117" s="16"/>
      <c r="J117" s="17"/>
      <c r="K117" s="17"/>
      <c r="L117" s="17"/>
      <c r="M117" s="17"/>
      <c r="N117" s="18"/>
      <c r="O117" s="17"/>
      <c r="P117" s="17"/>
      <c r="Q117" s="17"/>
      <c r="R117" s="17"/>
      <c r="S117" s="17"/>
      <c r="T117" s="19"/>
      <c r="U117" s="15"/>
      <c r="V117" s="20"/>
      <c r="W117" s="21"/>
      <c r="X117" s="15"/>
      <c r="Y117" s="22"/>
    </row>
    <row r="118" spans="1:25" s="23" customFormat="1" x14ac:dyDescent="0.25">
      <c r="A118" s="121">
        <v>77</v>
      </c>
      <c r="B118" s="12" t="s">
        <v>173</v>
      </c>
      <c r="C118" s="12" t="s">
        <v>174</v>
      </c>
      <c r="D118" s="11">
        <v>15</v>
      </c>
      <c r="E118" s="13">
        <f t="shared" si="56"/>
        <v>185.66666666666666</v>
      </c>
      <c r="F118" s="27">
        <v>2785</v>
      </c>
      <c r="G118" s="15">
        <v>0</v>
      </c>
      <c r="H118" s="15">
        <f>TRUNC(SUM(D118*E118)+G118,2)</f>
        <v>2785</v>
      </c>
      <c r="I118" s="16"/>
      <c r="J118" s="17">
        <v>0</v>
      </c>
      <c r="K118" s="17">
        <f>H118+J118</f>
        <v>2785</v>
      </c>
      <c r="L118" s="17">
        <f>VLOOKUP(K118,Tarifa1,1)</f>
        <v>2077.5100000000002</v>
      </c>
      <c r="M118" s="17">
        <f>K118-L118</f>
        <v>707.48999999999978</v>
      </c>
      <c r="N118" s="18">
        <f>VLOOKUP(K118,Tarifa1,3)</f>
        <v>0.10879999999999999</v>
      </c>
      <c r="O118" s="17">
        <f>M118*N118</f>
        <v>76.974911999999975</v>
      </c>
      <c r="P118" s="17">
        <f>VLOOKUP(K118,Tarifa1,2)</f>
        <v>121.95</v>
      </c>
      <c r="Q118" s="17">
        <f>O118+P118</f>
        <v>198.92491199999998</v>
      </c>
      <c r="R118" s="17">
        <f>VLOOKUP(K118,Credito1,2)</f>
        <v>145.35</v>
      </c>
      <c r="S118" s="17">
        <f>Q118-R118</f>
        <v>53.574911999999983</v>
      </c>
      <c r="T118" s="19"/>
      <c r="U118" s="15">
        <f>-IF(S118&gt;0,0,S118)</f>
        <v>0</v>
      </c>
      <c r="V118" s="20">
        <f>IF(S118&lt;0,0,S118)</f>
        <v>53.574911999999983</v>
      </c>
      <c r="W118" s="21">
        <v>0</v>
      </c>
      <c r="X118" s="15">
        <f>SUM(V118:W118)</f>
        <v>53.574911999999983</v>
      </c>
      <c r="Y118" s="22">
        <f>H118+U118-X118</f>
        <v>2731.425088</v>
      </c>
    </row>
    <row r="119" spans="1:25" s="23" customFormat="1" x14ac:dyDescent="0.25">
      <c r="A119" s="121">
        <v>78</v>
      </c>
      <c r="B119" s="12" t="s">
        <v>175</v>
      </c>
      <c r="C119" s="12" t="s">
        <v>176</v>
      </c>
      <c r="D119" s="11">
        <v>15</v>
      </c>
      <c r="E119" s="13">
        <f t="shared" si="56"/>
        <v>228.93333333333334</v>
      </c>
      <c r="F119" s="27">
        <v>3434</v>
      </c>
      <c r="G119" s="15">
        <v>0</v>
      </c>
      <c r="H119" s="15">
        <f>TRUNC(SUM(D119*E119)+G119,2)</f>
        <v>3434</v>
      </c>
      <c r="I119" s="16"/>
      <c r="J119" s="17">
        <v>0</v>
      </c>
      <c r="K119" s="17">
        <f>H119+J119</f>
        <v>3434</v>
      </c>
      <c r="L119" s="17">
        <f>VLOOKUP(K119,Tarifa1,1)</f>
        <v>2077.5100000000002</v>
      </c>
      <c r="M119" s="17">
        <f>K119-L119</f>
        <v>1356.4899999999998</v>
      </c>
      <c r="N119" s="18">
        <f>VLOOKUP(K119,Tarifa1,3)</f>
        <v>0.10879999999999999</v>
      </c>
      <c r="O119" s="17">
        <f>M119*N119</f>
        <v>147.58611199999996</v>
      </c>
      <c r="P119" s="17">
        <f>VLOOKUP(K119,Tarifa1,2)</f>
        <v>121.95</v>
      </c>
      <c r="Q119" s="17">
        <f>O119+P119</f>
        <v>269.53611199999995</v>
      </c>
      <c r="R119" s="17">
        <f>VLOOKUP(K119,Credito1,2)</f>
        <v>125.1</v>
      </c>
      <c r="S119" s="17">
        <f>Q119-R119</f>
        <v>144.43611199999995</v>
      </c>
      <c r="T119" s="19"/>
      <c r="U119" s="15">
        <f>-IF(S119&gt;0,0,S119)</f>
        <v>0</v>
      </c>
      <c r="V119" s="20">
        <f>IF(S119&lt;0,0,S119)</f>
        <v>144.43611199999995</v>
      </c>
      <c r="W119" s="21">
        <v>0</v>
      </c>
      <c r="X119" s="15">
        <f>SUM(V119:W119)</f>
        <v>144.43611199999995</v>
      </c>
      <c r="Y119" s="22">
        <f>H119+U119-X119</f>
        <v>3289.5638880000001</v>
      </c>
    </row>
    <row r="120" spans="1:25" s="23" customFormat="1" ht="26.25" x14ac:dyDescent="0.25">
      <c r="A120" s="121">
        <v>79</v>
      </c>
      <c r="B120" s="12" t="s">
        <v>177</v>
      </c>
      <c r="C120" s="12" t="s">
        <v>178</v>
      </c>
      <c r="D120" s="11">
        <v>15</v>
      </c>
      <c r="E120" s="13">
        <f t="shared" si="56"/>
        <v>185.66666666666666</v>
      </c>
      <c r="F120" s="27">
        <v>2785</v>
      </c>
      <c r="G120" s="15">
        <v>0</v>
      </c>
      <c r="H120" s="15">
        <f>TRUNC(SUM(D120*E120)+G120,2)</f>
        <v>2785</v>
      </c>
      <c r="I120" s="16"/>
      <c r="J120" s="17">
        <v>0</v>
      </c>
      <c r="K120" s="17">
        <f>H120+J120</f>
        <v>2785</v>
      </c>
      <c r="L120" s="17">
        <f>VLOOKUP(K120,Tarifa1,1)</f>
        <v>2077.5100000000002</v>
      </c>
      <c r="M120" s="17">
        <f>K120-L120</f>
        <v>707.48999999999978</v>
      </c>
      <c r="N120" s="18">
        <f>VLOOKUP(K120,Tarifa1,3)</f>
        <v>0.10879999999999999</v>
      </c>
      <c r="O120" s="17">
        <f>M120*N120</f>
        <v>76.974911999999975</v>
      </c>
      <c r="P120" s="17">
        <f>VLOOKUP(K120,Tarifa1,2)</f>
        <v>121.95</v>
      </c>
      <c r="Q120" s="17">
        <f>O120+P120</f>
        <v>198.92491199999998</v>
      </c>
      <c r="R120" s="17">
        <f>VLOOKUP(K120,Credito1,2)</f>
        <v>145.35</v>
      </c>
      <c r="S120" s="17">
        <f>Q120-R120</f>
        <v>53.574911999999983</v>
      </c>
      <c r="T120" s="19"/>
      <c r="U120" s="15">
        <f>-IF(S120&gt;0,0,S120)</f>
        <v>0</v>
      </c>
      <c r="V120" s="20">
        <f>IF(S120&lt;0,0,S120)</f>
        <v>53.574911999999983</v>
      </c>
      <c r="W120" s="21">
        <v>0</v>
      </c>
      <c r="X120" s="15">
        <f>SUM(V120:W120)</f>
        <v>53.574911999999983</v>
      </c>
      <c r="Y120" s="22">
        <f>H120+U120-X120</f>
        <v>2731.425088</v>
      </c>
    </row>
    <row r="121" spans="1:25" s="23" customFormat="1" x14ac:dyDescent="0.25">
      <c r="A121" s="125"/>
      <c r="B121" s="53" t="s">
        <v>179</v>
      </c>
      <c r="C121" s="53"/>
      <c r="D121" s="54"/>
      <c r="E121" s="54"/>
      <c r="F121" s="54"/>
      <c r="G121" s="54"/>
      <c r="H121" s="54"/>
      <c r="I121" s="55"/>
      <c r="J121" s="54"/>
      <c r="K121" s="54"/>
      <c r="L121" s="54"/>
      <c r="M121" s="54"/>
      <c r="N121" s="54"/>
      <c r="O121" s="54"/>
      <c r="P121" s="54"/>
      <c r="Q121" s="54"/>
      <c r="R121" s="54"/>
      <c r="S121" s="55"/>
      <c r="T121" s="55"/>
      <c r="U121" s="54"/>
      <c r="V121" s="54"/>
      <c r="W121" s="54"/>
      <c r="X121" s="54"/>
      <c r="Y121" s="54"/>
    </row>
    <row r="122" spans="1:25" s="23" customFormat="1" x14ac:dyDescent="0.25">
      <c r="A122" s="126"/>
      <c r="B122" s="57" t="s">
        <v>60</v>
      </c>
      <c r="C122" s="57"/>
      <c r="D122" s="56"/>
      <c r="E122" s="56"/>
      <c r="F122" s="56"/>
      <c r="G122" s="56"/>
      <c r="H122" s="56"/>
      <c r="I122" s="58"/>
      <c r="J122" s="56"/>
      <c r="K122" s="56"/>
      <c r="L122" s="56"/>
      <c r="M122" s="56"/>
      <c r="N122" s="56"/>
      <c r="O122" s="56"/>
      <c r="P122" s="56"/>
      <c r="Q122" s="56"/>
      <c r="R122" s="56"/>
      <c r="S122" s="58"/>
      <c r="T122" s="58"/>
      <c r="U122" s="56"/>
      <c r="V122" s="56"/>
      <c r="W122" s="56"/>
      <c r="X122" s="56"/>
      <c r="Y122" s="56"/>
    </row>
    <row r="123" spans="1:25" s="23" customFormat="1" x14ac:dyDescent="0.25">
      <c r="A123" s="127">
        <v>80</v>
      </c>
      <c r="B123" s="32" t="s">
        <v>180</v>
      </c>
      <c r="C123" s="12" t="s">
        <v>68</v>
      </c>
      <c r="D123" s="11">
        <v>15</v>
      </c>
      <c r="E123" s="13">
        <f>F123/15</f>
        <v>123.53333333333333</v>
      </c>
      <c r="F123" s="14">
        <v>1853</v>
      </c>
      <c r="G123" s="30">
        <v>0</v>
      </c>
      <c r="H123" s="39">
        <f>TRUNC(SUM(D123*E123)+G123,2)</f>
        <v>1853</v>
      </c>
      <c r="I123" s="40"/>
      <c r="J123" s="41">
        <v>0</v>
      </c>
      <c r="K123" s="41">
        <f>H123+J123</f>
        <v>1853</v>
      </c>
      <c r="L123" s="41">
        <f>VLOOKUP(K123,Tarifa1,1)</f>
        <v>244.81</v>
      </c>
      <c r="M123" s="41">
        <f>K123-L123</f>
        <v>1608.19</v>
      </c>
      <c r="N123" s="42">
        <f>VLOOKUP(K123,Tarifa1,3)</f>
        <v>6.4000000000000001E-2</v>
      </c>
      <c r="O123" s="41">
        <f>M123*N123</f>
        <v>102.92416</v>
      </c>
      <c r="P123" s="41">
        <f>VLOOKUP(K123,Tarifa1,2)</f>
        <v>4.6500000000000004</v>
      </c>
      <c r="Q123" s="41">
        <f>O123+P123</f>
        <v>107.57416000000001</v>
      </c>
      <c r="R123" s="41">
        <f>VLOOKUP(K123,Credito1,2)</f>
        <v>188.7</v>
      </c>
      <c r="S123" s="41">
        <f>Q123-R123</f>
        <v>-81.125839999999982</v>
      </c>
      <c r="T123" s="43"/>
      <c r="U123" s="39">
        <f>-IF(S123&gt;0,0,S123)</f>
        <v>81.125839999999982</v>
      </c>
      <c r="V123" s="44">
        <f>IF(S123&lt;0,0,S123)</f>
        <v>0</v>
      </c>
      <c r="W123" s="45">
        <v>0</v>
      </c>
      <c r="X123" s="39">
        <f>SUM(V123:W123)</f>
        <v>0</v>
      </c>
      <c r="Y123" s="46">
        <f>H123+U123-X123</f>
        <v>1934.1258399999999</v>
      </c>
    </row>
    <row r="124" spans="1:25" s="23" customFormat="1" x14ac:dyDescent="0.25">
      <c r="A124" s="127"/>
      <c r="B124" s="59" t="s">
        <v>181</v>
      </c>
      <c r="C124" s="12"/>
      <c r="D124" s="11"/>
      <c r="E124" s="60"/>
      <c r="F124" s="14"/>
      <c r="G124" s="30"/>
      <c r="H124" s="39"/>
      <c r="I124" s="40"/>
      <c r="J124" s="41"/>
      <c r="K124" s="41"/>
      <c r="L124" s="41"/>
      <c r="M124" s="41"/>
      <c r="N124" s="42"/>
      <c r="O124" s="41"/>
      <c r="P124" s="41"/>
      <c r="Q124" s="41"/>
      <c r="R124" s="41"/>
      <c r="S124" s="41"/>
      <c r="T124" s="43"/>
      <c r="U124" s="39"/>
      <c r="V124" s="44"/>
      <c r="W124" s="45"/>
      <c r="X124" s="39"/>
      <c r="Y124" s="46"/>
    </row>
    <row r="125" spans="1:25" s="23" customFormat="1" ht="29.25" x14ac:dyDescent="0.25">
      <c r="A125" s="127">
        <v>81</v>
      </c>
      <c r="B125" s="32" t="s">
        <v>182</v>
      </c>
      <c r="C125" s="12" t="s">
        <v>183</v>
      </c>
      <c r="D125" s="11">
        <v>15</v>
      </c>
      <c r="E125" s="13">
        <f>F125/15</f>
        <v>391.4</v>
      </c>
      <c r="F125" s="14">
        <v>5871</v>
      </c>
      <c r="G125" s="30">
        <v>0</v>
      </c>
      <c r="H125" s="39">
        <f>TRUNC(SUM(D125*E125)+G125,2)</f>
        <v>5871</v>
      </c>
      <c r="I125" s="40"/>
      <c r="J125" s="41">
        <v>0</v>
      </c>
      <c r="K125" s="41">
        <f>H125+J125</f>
        <v>5871</v>
      </c>
      <c r="L125" s="41">
        <f>VLOOKUP(K125,Tarifa1,1)</f>
        <v>5081.41</v>
      </c>
      <c r="M125" s="41">
        <f>K125-L125</f>
        <v>789.59000000000015</v>
      </c>
      <c r="N125" s="42">
        <f>VLOOKUP(K125,Tarifa1,3)</f>
        <v>0.21360000000000001</v>
      </c>
      <c r="O125" s="41">
        <f>M125*N125</f>
        <v>168.65642400000004</v>
      </c>
      <c r="P125" s="41">
        <f>VLOOKUP(K125,Tarifa1,2)</f>
        <v>538.20000000000005</v>
      </c>
      <c r="Q125" s="41">
        <f>O125+P125</f>
        <v>706.85642400000006</v>
      </c>
      <c r="R125" s="41">
        <f>VLOOKUP(K125,Credito1,2)</f>
        <v>0</v>
      </c>
      <c r="S125" s="41">
        <f>Q125-R125</f>
        <v>706.85642400000006</v>
      </c>
      <c r="T125" s="43"/>
      <c r="U125" s="39">
        <f>-IF(S125&gt;0,0,S125)</f>
        <v>0</v>
      </c>
      <c r="V125" s="44">
        <f>IF(S125&lt;0,0,S125)</f>
        <v>706.85642400000006</v>
      </c>
      <c r="W125" s="45">
        <v>0</v>
      </c>
      <c r="X125" s="39">
        <f>SUM(V125:W125)</f>
        <v>706.85642400000006</v>
      </c>
      <c r="Y125" s="46">
        <f>H125+U125-X125</f>
        <v>5164.1435760000004</v>
      </c>
    </row>
    <row r="126" spans="1:25" s="23" customFormat="1" x14ac:dyDescent="0.25">
      <c r="A126" s="127">
        <v>82</v>
      </c>
      <c r="B126" s="32" t="s">
        <v>184</v>
      </c>
      <c r="C126" s="12" t="s">
        <v>68</v>
      </c>
      <c r="D126" s="11">
        <v>15</v>
      </c>
      <c r="E126" s="13">
        <f>F126/15</f>
        <v>171.66666666666666</v>
      </c>
      <c r="F126" s="14">
        <v>2575</v>
      </c>
      <c r="G126" s="30">
        <v>0</v>
      </c>
      <c r="H126" s="39">
        <f>TRUNC(SUM(D126*E126)+G126,2)</f>
        <v>2575</v>
      </c>
      <c r="I126" s="40"/>
      <c r="J126" s="41">
        <v>0</v>
      </c>
      <c r="K126" s="41">
        <f>H126+J126</f>
        <v>2575</v>
      </c>
      <c r="L126" s="41">
        <f>VLOOKUP(K126,Tarifa1,1)</f>
        <v>2077.5100000000002</v>
      </c>
      <c r="M126" s="41">
        <f>K126-L126</f>
        <v>497.48999999999978</v>
      </c>
      <c r="N126" s="42">
        <f>VLOOKUP(K126,Tarifa1,3)</f>
        <v>0.10879999999999999</v>
      </c>
      <c r="O126" s="41">
        <f>M126*N126</f>
        <v>54.126911999999976</v>
      </c>
      <c r="P126" s="41">
        <f>VLOOKUP(K126,Tarifa1,2)</f>
        <v>121.95</v>
      </c>
      <c r="Q126" s="41">
        <f>O126+P126</f>
        <v>176.07691199999999</v>
      </c>
      <c r="R126" s="41">
        <f>VLOOKUP(K126,Credito1,2)</f>
        <v>160.35</v>
      </c>
      <c r="S126" s="41">
        <f>Q126-R126</f>
        <v>15.726911999999999</v>
      </c>
      <c r="T126" s="43"/>
      <c r="U126" s="39">
        <f>-IF(S126&gt;0,0,S126)</f>
        <v>0</v>
      </c>
      <c r="V126" s="44">
        <f>IF(S126&lt;0,0,S126)</f>
        <v>15.726911999999999</v>
      </c>
      <c r="W126" s="45">
        <v>0</v>
      </c>
      <c r="X126" s="39">
        <f>SUM(V126:W126)</f>
        <v>15.726911999999999</v>
      </c>
      <c r="Y126" s="46">
        <f>H126+U126-X126</f>
        <v>2559.2730879999999</v>
      </c>
    </row>
    <row r="127" spans="1:25" s="23" customFormat="1" x14ac:dyDescent="0.25">
      <c r="A127" s="127"/>
      <c r="B127" s="59" t="s">
        <v>185</v>
      </c>
      <c r="C127" s="12"/>
      <c r="D127" s="11"/>
      <c r="E127" s="13"/>
      <c r="F127" s="14"/>
      <c r="G127" s="30"/>
      <c r="H127" s="39"/>
      <c r="I127" s="40"/>
      <c r="J127" s="41"/>
      <c r="K127" s="41"/>
      <c r="L127" s="41"/>
      <c r="M127" s="41"/>
      <c r="N127" s="42"/>
      <c r="O127" s="41"/>
      <c r="P127" s="41"/>
      <c r="Q127" s="41"/>
      <c r="R127" s="41"/>
      <c r="S127" s="41"/>
      <c r="T127" s="43"/>
      <c r="U127" s="39"/>
      <c r="V127" s="44"/>
      <c r="W127" s="45"/>
      <c r="X127" s="39"/>
      <c r="Y127" s="46"/>
    </row>
    <row r="128" spans="1:25" s="23" customFormat="1" ht="29.25" x14ac:dyDescent="0.25">
      <c r="A128" s="127">
        <v>83</v>
      </c>
      <c r="B128" s="32" t="s">
        <v>186</v>
      </c>
      <c r="C128" s="12" t="s">
        <v>187</v>
      </c>
      <c r="D128" s="11">
        <v>15</v>
      </c>
      <c r="E128" s="13">
        <f>F128/15</f>
        <v>333.33333333333331</v>
      </c>
      <c r="F128" s="14">
        <v>5000</v>
      </c>
      <c r="G128" s="30">
        <v>0</v>
      </c>
      <c r="H128" s="39">
        <f>TRUNC(SUM(D128*E128)+G128,2)</f>
        <v>5000</v>
      </c>
      <c r="I128" s="40"/>
      <c r="J128" s="41">
        <v>0</v>
      </c>
      <c r="K128" s="41">
        <f>H128+J128</f>
        <v>5000</v>
      </c>
      <c r="L128" s="41">
        <f>VLOOKUP(K128,Tarifa1,1)</f>
        <v>4244.1099999999997</v>
      </c>
      <c r="M128" s="41">
        <f>K128-L128</f>
        <v>755.89000000000033</v>
      </c>
      <c r="N128" s="42">
        <f>VLOOKUP(K128,Tarifa1,3)</f>
        <v>0.1792</v>
      </c>
      <c r="O128" s="41">
        <f>M128*N128</f>
        <v>135.45548800000006</v>
      </c>
      <c r="P128" s="41">
        <f>VLOOKUP(K128,Tarifa1,2)</f>
        <v>388.05</v>
      </c>
      <c r="Q128" s="41">
        <f>O128+P128</f>
        <v>523.50548800000001</v>
      </c>
      <c r="R128" s="41">
        <f>VLOOKUP(K128,Credito1,2)</f>
        <v>0</v>
      </c>
      <c r="S128" s="41">
        <f>Q128-R128</f>
        <v>523.50548800000001</v>
      </c>
      <c r="T128" s="43"/>
      <c r="U128" s="39">
        <f>-IF(S128&gt;0,0,S128)</f>
        <v>0</v>
      </c>
      <c r="V128" s="44">
        <f>IF(S128&lt;0,0,S128)</f>
        <v>523.50548800000001</v>
      </c>
      <c r="W128" s="45">
        <v>0</v>
      </c>
      <c r="X128" s="39">
        <f>SUM(V128:W128)</f>
        <v>523.50548800000001</v>
      </c>
      <c r="Y128" s="46">
        <f>H128+U128-X128</f>
        <v>4476.4945120000002</v>
      </c>
    </row>
    <row r="129" spans="1:25" s="23" customFormat="1" ht="30" x14ac:dyDescent="0.25">
      <c r="A129" s="127"/>
      <c r="B129" s="59" t="s">
        <v>188</v>
      </c>
      <c r="C129" s="12"/>
      <c r="D129" s="11"/>
      <c r="E129" s="13"/>
      <c r="F129" s="14"/>
      <c r="G129" s="30"/>
      <c r="H129" s="39"/>
      <c r="I129" s="40"/>
      <c r="J129" s="41"/>
      <c r="K129" s="41"/>
      <c r="L129" s="41"/>
      <c r="M129" s="41"/>
      <c r="N129" s="42"/>
      <c r="O129" s="41"/>
      <c r="P129" s="41"/>
      <c r="Q129" s="41"/>
      <c r="R129" s="41"/>
      <c r="S129" s="41"/>
      <c r="T129" s="43"/>
      <c r="U129" s="39"/>
      <c r="V129" s="44"/>
      <c r="W129" s="45"/>
      <c r="X129" s="39"/>
      <c r="Y129" s="46"/>
    </row>
    <row r="130" spans="1:25" s="23" customFormat="1" ht="26.25" x14ac:dyDescent="0.25">
      <c r="A130" s="127">
        <v>84</v>
      </c>
      <c r="B130" s="32" t="s">
        <v>189</v>
      </c>
      <c r="C130" s="12" t="s">
        <v>119</v>
      </c>
      <c r="D130" s="11">
        <v>15</v>
      </c>
      <c r="E130" s="13">
        <f>F130/15</f>
        <v>178.53333333333333</v>
      </c>
      <c r="F130" s="14">
        <v>2678</v>
      </c>
      <c r="G130" s="30">
        <v>0</v>
      </c>
      <c r="H130" s="39">
        <f>TRUNC(SUM(D130*E130)+G130,2)</f>
        <v>2678</v>
      </c>
      <c r="I130" s="40"/>
      <c r="J130" s="41">
        <v>0</v>
      </c>
      <c r="K130" s="41">
        <f>H130+J130</f>
        <v>2678</v>
      </c>
      <c r="L130" s="41">
        <f>VLOOKUP(K130,Tarifa1,1)</f>
        <v>2077.5100000000002</v>
      </c>
      <c r="M130" s="41">
        <f>K130-L130</f>
        <v>600.48999999999978</v>
      </c>
      <c r="N130" s="42">
        <f>VLOOKUP(K130,Tarifa1,3)</f>
        <v>0.10879999999999999</v>
      </c>
      <c r="O130" s="41">
        <f>M130*N130</f>
        <v>65.333311999999978</v>
      </c>
      <c r="P130" s="41">
        <f>VLOOKUP(K130,Tarifa1,2)</f>
        <v>121.95</v>
      </c>
      <c r="Q130" s="41">
        <f>O130+P130</f>
        <v>187.28331199999997</v>
      </c>
      <c r="R130" s="41">
        <f>VLOOKUP(K130,Credito1,2)</f>
        <v>145.35</v>
      </c>
      <c r="S130" s="41">
        <f>Q130-R130</f>
        <v>41.933311999999972</v>
      </c>
      <c r="T130" s="43"/>
      <c r="U130" s="39">
        <f>-IF(S130&gt;0,0,S130)</f>
        <v>0</v>
      </c>
      <c r="V130" s="44">
        <f>IF(S130&lt;0,0,S130)</f>
        <v>41.933311999999972</v>
      </c>
      <c r="W130" s="45">
        <v>0</v>
      </c>
      <c r="X130" s="39">
        <f>SUM(V130:W130)</f>
        <v>41.933311999999972</v>
      </c>
      <c r="Y130" s="46">
        <f>H130+U130-X130</f>
        <v>2636.0666879999999</v>
      </c>
    </row>
    <row r="131" spans="1:25" s="23" customFormat="1" x14ac:dyDescent="0.25">
      <c r="A131" s="127"/>
      <c r="B131" s="59" t="s">
        <v>84</v>
      </c>
      <c r="C131" s="12"/>
      <c r="D131" s="11"/>
      <c r="E131" s="60"/>
      <c r="F131" s="14"/>
      <c r="G131" s="30"/>
      <c r="H131" s="39"/>
      <c r="I131" s="40"/>
      <c r="J131" s="41"/>
      <c r="K131" s="41"/>
      <c r="L131" s="41"/>
      <c r="M131" s="41"/>
      <c r="N131" s="42"/>
      <c r="O131" s="41"/>
      <c r="P131" s="41"/>
      <c r="Q131" s="41"/>
      <c r="R131" s="41"/>
      <c r="S131" s="41"/>
      <c r="T131" s="43"/>
      <c r="U131" s="39"/>
      <c r="V131" s="44"/>
      <c r="W131" s="45"/>
      <c r="X131" s="39"/>
      <c r="Y131" s="46"/>
    </row>
    <row r="132" spans="1:25" s="23" customFormat="1" ht="29.25" x14ac:dyDescent="0.25">
      <c r="A132" s="127">
        <v>85</v>
      </c>
      <c r="B132" s="32" t="s">
        <v>190</v>
      </c>
      <c r="C132" s="12" t="s">
        <v>191</v>
      </c>
      <c r="D132" s="11">
        <v>15</v>
      </c>
      <c r="E132" s="13">
        <f>F132/15</f>
        <v>178.53333333333333</v>
      </c>
      <c r="F132" s="14">
        <v>2678</v>
      </c>
      <c r="G132" s="30">
        <v>0</v>
      </c>
      <c r="H132" s="39">
        <f>TRUNC(SUM(D132*E132)+G132,2)</f>
        <v>2678</v>
      </c>
      <c r="I132" s="40"/>
      <c r="J132" s="41">
        <v>0</v>
      </c>
      <c r="K132" s="41">
        <f>H132+J132</f>
        <v>2678</v>
      </c>
      <c r="L132" s="41">
        <f>VLOOKUP(K132,Tarifa1,1)</f>
        <v>2077.5100000000002</v>
      </c>
      <c r="M132" s="41">
        <f>K132-L132</f>
        <v>600.48999999999978</v>
      </c>
      <c r="N132" s="42">
        <f>VLOOKUP(K132,Tarifa1,3)</f>
        <v>0.10879999999999999</v>
      </c>
      <c r="O132" s="41">
        <f>M132*N132</f>
        <v>65.333311999999978</v>
      </c>
      <c r="P132" s="41">
        <f>VLOOKUP(K132,Tarifa1,2)</f>
        <v>121.95</v>
      </c>
      <c r="Q132" s="41">
        <f>O132+P132</f>
        <v>187.28331199999997</v>
      </c>
      <c r="R132" s="41">
        <f>VLOOKUP(K132,Credito1,2)</f>
        <v>145.35</v>
      </c>
      <c r="S132" s="41">
        <f>Q132-R132</f>
        <v>41.933311999999972</v>
      </c>
      <c r="T132" s="43"/>
      <c r="U132" s="39">
        <f>-IF(S132&gt;0,0,S132)</f>
        <v>0</v>
      </c>
      <c r="V132" s="44">
        <f>IF(S132&lt;0,0,S132)</f>
        <v>41.933311999999972</v>
      </c>
      <c r="W132" s="45">
        <v>0</v>
      </c>
      <c r="X132" s="39">
        <f>SUM(V132:W132)</f>
        <v>41.933311999999972</v>
      </c>
      <c r="Y132" s="46">
        <f>H132+U132-X132</f>
        <v>2636.0666879999999</v>
      </c>
    </row>
    <row r="133" spans="1:25" s="23" customFormat="1" ht="26.25" x14ac:dyDescent="0.25">
      <c r="A133" s="127">
        <v>86</v>
      </c>
      <c r="B133" s="32" t="s">
        <v>192</v>
      </c>
      <c r="C133" s="12" t="s">
        <v>191</v>
      </c>
      <c r="D133" s="11">
        <v>15</v>
      </c>
      <c r="E133" s="13">
        <f>F133/15</f>
        <v>123.53333333333333</v>
      </c>
      <c r="F133" s="14">
        <v>1853</v>
      </c>
      <c r="G133" s="30">
        <v>0</v>
      </c>
      <c r="H133" s="39">
        <f>TRUNC(SUM(D133*E133)+G133,2)</f>
        <v>1853</v>
      </c>
      <c r="I133" s="40"/>
      <c r="J133" s="41">
        <v>0</v>
      </c>
      <c r="K133" s="41">
        <f>H133+J133</f>
        <v>1853</v>
      </c>
      <c r="L133" s="41">
        <f>VLOOKUP(K133,Tarifa1,1)</f>
        <v>244.81</v>
      </c>
      <c r="M133" s="41">
        <f>K133-L133</f>
        <v>1608.19</v>
      </c>
      <c r="N133" s="42">
        <f>VLOOKUP(K133,Tarifa1,3)</f>
        <v>6.4000000000000001E-2</v>
      </c>
      <c r="O133" s="41">
        <f>M133*N133</f>
        <v>102.92416</v>
      </c>
      <c r="P133" s="41">
        <f>VLOOKUP(K133,Tarifa1,2)</f>
        <v>4.6500000000000004</v>
      </c>
      <c r="Q133" s="41">
        <f>O133+P133</f>
        <v>107.57416000000001</v>
      </c>
      <c r="R133" s="41">
        <f>VLOOKUP(K133,Credito1,2)</f>
        <v>188.7</v>
      </c>
      <c r="S133" s="41">
        <f>Q133-R133</f>
        <v>-81.125839999999982</v>
      </c>
      <c r="T133" s="43"/>
      <c r="U133" s="39">
        <f>-IF(S133&gt;0,0,S133)</f>
        <v>81.125839999999982</v>
      </c>
      <c r="V133" s="44">
        <f>IF(S133&lt;0,0,S133)</f>
        <v>0</v>
      </c>
      <c r="W133" s="45">
        <v>0</v>
      </c>
      <c r="X133" s="39">
        <f>SUM(V133:W133)</f>
        <v>0</v>
      </c>
      <c r="Y133" s="46">
        <f>H133+U133-X133</f>
        <v>1934.1258399999999</v>
      </c>
    </row>
    <row r="134" spans="1:25" s="23" customFormat="1" x14ac:dyDescent="0.25">
      <c r="A134" s="127">
        <v>87</v>
      </c>
      <c r="B134" s="32" t="s">
        <v>193</v>
      </c>
      <c r="C134" s="12" t="s">
        <v>194</v>
      </c>
      <c r="D134" s="11">
        <v>15</v>
      </c>
      <c r="E134" s="13">
        <f>F134/15</f>
        <v>178.53333333333333</v>
      </c>
      <c r="F134" s="14">
        <v>2678</v>
      </c>
      <c r="G134" s="30">
        <v>0</v>
      </c>
      <c r="H134" s="39">
        <f>TRUNC(SUM(D134*E134)+G134,2)</f>
        <v>2678</v>
      </c>
      <c r="I134" s="40"/>
      <c r="J134" s="41">
        <v>0</v>
      </c>
      <c r="K134" s="41">
        <f>H134+J134</f>
        <v>2678</v>
      </c>
      <c r="L134" s="41">
        <f>VLOOKUP(K134,Tarifa1,1)</f>
        <v>2077.5100000000002</v>
      </c>
      <c r="M134" s="41">
        <f>K134-L134</f>
        <v>600.48999999999978</v>
      </c>
      <c r="N134" s="42">
        <f>VLOOKUP(K134,Tarifa1,3)</f>
        <v>0.10879999999999999</v>
      </c>
      <c r="O134" s="41">
        <f>M134*N134</f>
        <v>65.333311999999978</v>
      </c>
      <c r="P134" s="41">
        <f>VLOOKUP(K134,Tarifa1,2)</f>
        <v>121.95</v>
      </c>
      <c r="Q134" s="41">
        <f>O134+P134</f>
        <v>187.28331199999997</v>
      </c>
      <c r="R134" s="41">
        <f>VLOOKUP(K134,Credito1,2)</f>
        <v>145.35</v>
      </c>
      <c r="S134" s="41">
        <f>Q134-R134</f>
        <v>41.933311999999972</v>
      </c>
      <c r="T134" s="43"/>
      <c r="U134" s="39">
        <f>-IF(S134&gt;0,0,S134)</f>
        <v>0</v>
      </c>
      <c r="V134" s="44">
        <f>IF(S134&lt;0,0,S134)</f>
        <v>41.933311999999972</v>
      </c>
      <c r="W134" s="45">
        <v>0</v>
      </c>
      <c r="X134" s="39">
        <f>SUM(V134:W134)</f>
        <v>41.933311999999972</v>
      </c>
      <c r="Y134" s="46">
        <f>H134+U134-X134</f>
        <v>2636.0666879999999</v>
      </c>
    </row>
    <row r="135" spans="1:25" s="23" customFormat="1" x14ac:dyDescent="0.25">
      <c r="A135" s="127"/>
      <c r="B135" s="59" t="s">
        <v>195</v>
      </c>
      <c r="C135" s="12"/>
      <c r="D135" s="11"/>
      <c r="E135" s="60"/>
      <c r="F135" s="14"/>
      <c r="G135" s="30"/>
      <c r="H135" s="39"/>
      <c r="I135" s="40"/>
      <c r="J135" s="41"/>
      <c r="K135" s="41"/>
      <c r="L135" s="41"/>
      <c r="M135" s="41"/>
      <c r="N135" s="42"/>
      <c r="O135" s="41"/>
      <c r="P135" s="41"/>
      <c r="Q135" s="41"/>
      <c r="R135" s="41"/>
      <c r="S135" s="41"/>
      <c r="T135" s="43"/>
      <c r="U135" s="39"/>
      <c r="V135" s="44"/>
      <c r="W135" s="45"/>
      <c r="X135" s="39"/>
      <c r="Y135" s="46"/>
    </row>
    <row r="136" spans="1:25" s="23" customFormat="1" x14ac:dyDescent="0.25">
      <c r="A136" s="127">
        <v>88</v>
      </c>
      <c r="B136" s="32" t="s">
        <v>196</v>
      </c>
      <c r="C136" s="12" t="s">
        <v>68</v>
      </c>
      <c r="D136" s="11">
        <v>15</v>
      </c>
      <c r="E136" s="13">
        <f t="shared" ref="E136:E141" si="71">F136/15</f>
        <v>123.53333333333333</v>
      </c>
      <c r="F136" s="14">
        <v>1853</v>
      </c>
      <c r="G136" s="30">
        <v>0</v>
      </c>
      <c r="H136" s="39">
        <f>TRUNC(SUM(D136*E136)+G136,2)</f>
        <v>1853</v>
      </c>
      <c r="I136" s="40"/>
      <c r="J136" s="41">
        <v>0</v>
      </c>
      <c r="K136" s="41">
        <f>H136+J136</f>
        <v>1853</v>
      </c>
      <c r="L136" s="41">
        <f>VLOOKUP(K136,Tarifa1,1)</f>
        <v>244.81</v>
      </c>
      <c r="M136" s="41">
        <f>K136-L136</f>
        <v>1608.19</v>
      </c>
      <c r="N136" s="42">
        <f>VLOOKUP(K136,Tarifa1,3)</f>
        <v>6.4000000000000001E-2</v>
      </c>
      <c r="O136" s="41">
        <f>M136*N136</f>
        <v>102.92416</v>
      </c>
      <c r="P136" s="41">
        <f>VLOOKUP(K136,Tarifa1,2)</f>
        <v>4.6500000000000004</v>
      </c>
      <c r="Q136" s="41">
        <f>O136+P136</f>
        <v>107.57416000000001</v>
      </c>
      <c r="R136" s="41">
        <f>VLOOKUP(K136,Credito1,2)</f>
        <v>188.7</v>
      </c>
      <c r="S136" s="41">
        <f>Q136-R136</f>
        <v>-81.125839999999982</v>
      </c>
      <c r="T136" s="43"/>
      <c r="U136" s="39">
        <f>-IF(S136&gt;0,0,S136)</f>
        <v>81.125839999999982</v>
      </c>
      <c r="V136" s="44">
        <f>IF(S136&lt;0,0,S136)</f>
        <v>0</v>
      </c>
      <c r="W136" s="45">
        <v>0</v>
      </c>
      <c r="X136" s="39">
        <f>SUM(V136:W136)</f>
        <v>0</v>
      </c>
      <c r="Y136" s="46">
        <f>H136+U136-X136</f>
        <v>1934.1258399999999</v>
      </c>
    </row>
    <row r="137" spans="1:25" s="23" customFormat="1" ht="30" x14ac:dyDescent="0.25">
      <c r="A137" s="127"/>
      <c r="B137" s="59" t="s">
        <v>197</v>
      </c>
      <c r="C137" s="12"/>
      <c r="D137" s="11"/>
      <c r="E137" s="60"/>
      <c r="F137" s="14"/>
      <c r="G137" s="30"/>
      <c r="H137" s="39"/>
      <c r="I137" s="40"/>
      <c r="J137" s="41"/>
      <c r="K137" s="41"/>
      <c r="L137" s="41"/>
      <c r="M137" s="41"/>
      <c r="N137" s="42"/>
      <c r="O137" s="41"/>
      <c r="P137" s="41"/>
      <c r="Q137" s="41"/>
      <c r="R137" s="41"/>
      <c r="S137" s="41"/>
      <c r="T137" s="43"/>
      <c r="U137" s="39"/>
      <c r="V137" s="44"/>
      <c r="W137" s="45"/>
      <c r="X137" s="39"/>
      <c r="Y137" s="46"/>
    </row>
    <row r="138" spans="1:25" s="23" customFormat="1" x14ac:dyDescent="0.25">
      <c r="A138" s="127">
        <v>89</v>
      </c>
      <c r="B138" s="32" t="s">
        <v>198</v>
      </c>
      <c r="C138" s="12" t="s">
        <v>68</v>
      </c>
      <c r="D138" s="11">
        <v>15</v>
      </c>
      <c r="E138" s="13">
        <f t="shared" si="71"/>
        <v>171.66666666666666</v>
      </c>
      <c r="F138" s="14">
        <v>2575</v>
      </c>
      <c r="G138" s="30">
        <v>0</v>
      </c>
      <c r="H138" s="39">
        <f>TRUNC(SUM(D138*E138)+G138,2)</f>
        <v>2575</v>
      </c>
      <c r="I138" s="40"/>
      <c r="J138" s="41">
        <v>0</v>
      </c>
      <c r="K138" s="41">
        <f>H138+J138</f>
        <v>2575</v>
      </c>
      <c r="L138" s="41">
        <f>VLOOKUP(K138,Tarifa1,1)</f>
        <v>2077.5100000000002</v>
      </c>
      <c r="M138" s="41">
        <f>K138-L138</f>
        <v>497.48999999999978</v>
      </c>
      <c r="N138" s="42">
        <f>VLOOKUP(K138,Tarifa1,3)</f>
        <v>0.10879999999999999</v>
      </c>
      <c r="O138" s="41">
        <f>M138*N138</f>
        <v>54.126911999999976</v>
      </c>
      <c r="P138" s="41">
        <f>VLOOKUP(K138,Tarifa1,2)</f>
        <v>121.95</v>
      </c>
      <c r="Q138" s="41">
        <f>O138+P138</f>
        <v>176.07691199999999</v>
      </c>
      <c r="R138" s="41">
        <f>VLOOKUP(K138,Credito1,2)</f>
        <v>160.35</v>
      </c>
      <c r="S138" s="41">
        <f>Q138-R138</f>
        <v>15.726911999999999</v>
      </c>
      <c r="T138" s="43"/>
      <c r="U138" s="39">
        <f>-IF(S138&gt;0,0,S138)</f>
        <v>0</v>
      </c>
      <c r="V138" s="44">
        <f>IF(S138&lt;0,0,S138)</f>
        <v>15.726911999999999</v>
      </c>
      <c r="W138" s="45">
        <v>0</v>
      </c>
      <c r="X138" s="39">
        <f>SUM(V138:W138)</f>
        <v>15.726911999999999</v>
      </c>
      <c r="Y138" s="46">
        <f>H138+U138-X138</f>
        <v>2559.2730879999999</v>
      </c>
    </row>
    <row r="139" spans="1:25" s="23" customFormat="1" x14ac:dyDescent="0.25">
      <c r="A139" s="127"/>
      <c r="B139" s="59" t="s">
        <v>199</v>
      </c>
      <c r="C139" s="12"/>
      <c r="D139" s="11"/>
      <c r="E139" s="60"/>
      <c r="F139" s="14"/>
      <c r="G139" s="30"/>
      <c r="H139" s="39"/>
      <c r="I139" s="40"/>
      <c r="J139" s="41"/>
      <c r="K139" s="41"/>
      <c r="L139" s="41"/>
      <c r="M139" s="41"/>
      <c r="N139" s="42"/>
      <c r="O139" s="41"/>
      <c r="P139" s="41"/>
      <c r="Q139" s="41"/>
      <c r="R139" s="41"/>
      <c r="S139" s="41"/>
      <c r="T139" s="43"/>
      <c r="U139" s="39"/>
      <c r="V139" s="44"/>
      <c r="W139" s="45"/>
      <c r="X139" s="39"/>
      <c r="Y139" s="46"/>
    </row>
    <row r="140" spans="1:25" s="23" customFormat="1" x14ac:dyDescent="0.25">
      <c r="A140" s="127">
        <v>90</v>
      </c>
      <c r="B140" s="32" t="s">
        <v>200</v>
      </c>
      <c r="C140" s="12" t="s">
        <v>125</v>
      </c>
      <c r="D140" s="11">
        <v>15</v>
      </c>
      <c r="E140" s="13">
        <f t="shared" si="71"/>
        <v>126.6</v>
      </c>
      <c r="F140" s="14">
        <v>1899</v>
      </c>
      <c r="G140" s="30">
        <v>0</v>
      </c>
      <c r="H140" s="39">
        <f>TRUNC(SUM(D140*E140)+G140,2)</f>
        <v>1899</v>
      </c>
      <c r="I140" s="40"/>
      <c r="J140" s="41">
        <v>0</v>
      </c>
      <c r="K140" s="41">
        <f>H140+J140</f>
        <v>1899</v>
      </c>
      <c r="L140" s="41">
        <f>VLOOKUP(K140,Tarifa1,1)</f>
        <v>244.81</v>
      </c>
      <c r="M140" s="41">
        <f>K140-L140</f>
        <v>1654.19</v>
      </c>
      <c r="N140" s="42">
        <f>VLOOKUP(K140,Tarifa1,3)</f>
        <v>6.4000000000000001E-2</v>
      </c>
      <c r="O140" s="41">
        <f>M140*N140</f>
        <v>105.86816</v>
      </c>
      <c r="P140" s="41">
        <f>VLOOKUP(K140,Tarifa1,2)</f>
        <v>4.6500000000000004</v>
      </c>
      <c r="Q140" s="41">
        <f>O140+P140</f>
        <v>110.51816000000001</v>
      </c>
      <c r="R140" s="41">
        <f>VLOOKUP(K140,Credito1,2)</f>
        <v>188.7</v>
      </c>
      <c r="S140" s="41">
        <f>Q140-R140</f>
        <v>-78.18183999999998</v>
      </c>
      <c r="T140" s="43"/>
      <c r="U140" s="39">
        <f>-IF(S140&gt;0,0,S140)</f>
        <v>78.18183999999998</v>
      </c>
      <c r="V140" s="44">
        <f>IF(S140&lt;0,0,S140)</f>
        <v>0</v>
      </c>
      <c r="W140" s="45">
        <v>0</v>
      </c>
      <c r="X140" s="39">
        <f>SUM(V140:W140)</f>
        <v>0</v>
      </c>
      <c r="Y140" s="46">
        <f>H140+U140-X140</f>
        <v>1977.18184</v>
      </c>
    </row>
    <row r="141" spans="1:25" s="23" customFormat="1" x14ac:dyDescent="0.25">
      <c r="A141" s="127">
        <v>91</v>
      </c>
      <c r="B141" s="32" t="s">
        <v>201</v>
      </c>
      <c r="C141" s="12" t="s">
        <v>125</v>
      </c>
      <c r="D141" s="11">
        <v>15</v>
      </c>
      <c r="E141" s="13">
        <f t="shared" si="71"/>
        <v>126.6</v>
      </c>
      <c r="F141" s="14">
        <v>1899</v>
      </c>
      <c r="G141" s="30">
        <v>0</v>
      </c>
      <c r="H141" s="39">
        <f>TRUNC(SUM(D141*E141)+G141,2)</f>
        <v>1899</v>
      </c>
      <c r="I141" s="40"/>
      <c r="J141" s="41">
        <v>0</v>
      </c>
      <c r="K141" s="41">
        <f>H141+J141</f>
        <v>1899</v>
      </c>
      <c r="L141" s="41">
        <f>VLOOKUP(K141,Tarifa1,1)</f>
        <v>244.81</v>
      </c>
      <c r="M141" s="41">
        <f>K141-L141</f>
        <v>1654.19</v>
      </c>
      <c r="N141" s="42">
        <f>VLOOKUP(K141,Tarifa1,3)</f>
        <v>6.4000000000000001E-2</v>
      </c>
      <c r="O141" s="41">
        <f>M141*N141</f>
        <v>105.86816</v>
      </c>
      <c r="P141" s="41">
        <f>VLOOKUP(K141,Tarifa1,2)</f>
        <v>4.6500000000000004</v>
      </c>
      <c r="Q141" s="41">
        <f>O141+P141</f>
        <v>110.51816000000001</v>
      </c>
      <c r="R141" s="41">
        <f>VLOOKUP(K141,Credito1,2)</f>
        <v>188.7</v>
      </c>
      <c r="S141" s="41">
        <f>Q141-R141</f>
        <v>-78.18183999999998</v>
      </c>
      <c r="T141" s="43"/>
      <c r="U141" s="39">
        <f>-IF(S141&gt;0,0,S141)</f>
        <v>78.18183999999998</v>
      </c>
      <c r="V141" s="44">
        <v>0</v>
      </c>
      <c r="W141" s="45">
        <v>0</v>
      </c>
      <c r="X141" s="39">
        <f>SUM(V141:W141)</f>
        <v>0</v>
      </c>
      <c r="Y141" s="46">
        <f>H141+U141-X141</f>
        <v>1977.18184</v>
      </c>
    </row>
    <row r="142" spans="1:25" s="23" customFormat="1" x14ac:dyDescent="0.25">
      <c r="A142" s="127"/>
      <c r="B142" s="59" t="s">
        <v>202</v>
      </c>
      <c r="C142" s="12"/>
      <c r="D142" s="11"/>
      <c r="E142" s="60"/>
      <c r="F142" s="14"/>
      <c r="G142" s="30"/>
      <c r="H142" s="39"/>
      <c r="I142" s="40"/>
      <c r="J142" s="41"/>
      <c r="K142" s="41"/>
      <c r="L142" s="41"/>
      <c r="M142" s="41"/>
      <c r="N142" s="42"/>
      <c r="O142" s="41"/>
      <c r="P142" s="41"/>
      <c r="Q142" s="41"/>
      <c r="R142" s="41"/>
      <c r="S142" s="41"/>
      <c r="T142" s="43"/>
      <c r="U142" s="39"/>
      <c r="V142" s="44"/>
      <c r="W142" s="45"/>
      <c r="X142" s="39"/>
      <c r="Y142" s="46"/>
    </row>
    <row r="143" spans="1:25" s="23" customFormat="1" ht="26.25" x14ac:dyDescent="0.25">
      <c r="A143" s="127">
        <v>92</v>
      </c>
      <c r="B143" s="32" t="s">
        <v>203</v>
      </c>
      <c r="C143" s="12" t="s">
        <v>204</v>
      </c>
      <c r="D143" s="11">
        <v>15</v>
      </c>
      <c r="E143" s="13">
        <f t="shared" ref="E143:E162" si="72">F143/15</f>
        <v>185.66666666666666</v>
      </c>
      <c r="F143" s="14">
        <v>2785</v>
      </c>
      <c r="G143" s="30">
        <v>0</v>
      </c>
      <c r="H143" s="39">
        <f t="shared" ref="H143:H155" si="73">TRUNC(SUM(D143*E143)+G143,2)</f>
        <v>2785</v>
      </c>
      <c r="I143" s="40"/>
      <c r="J143" s="41">
        <v>0</v>
      </c>
      <c r="K143" s="41">
        <f t="shared" ref="K143:K159" si="74">H143+J143</f>
        <v>2785</v>
      </c>
      <c r="L143" s="41">
        <f t="shared" ref="L143:L152" si="75">VLOOKUP(K143,Tarifa1,1)</f>
        <v>2077.5100000000002</v>
      </c>
      <c r="M143" s="41">
        <f t="shared" ref="M143:M152" si="76">K143-L143</f>
        <v>707.48999999999978</v>
      </c>
      <c r="N143" s="42">
        <f t="shared" ref="N143:N152" si="77">VLOOKUP(K143,Tarifa1,3)</f>
        <v>0.10879999999999999</v>
      </c>
      <c r="O143" s="41">
        <f t="shared" ref="O143:O152" si="78">M143*N143</f>
        <v>76.974911999999975</v>
      </c>
      <c r="P143" s="41">
        <f t="shared" ref="P143:P152" si="79">VLOOKUP(K143,Tarifa1,2)</f>
        <v>121.95</v>
      </c>
      <c r="Q143" s="41">
        <f t="shared" ref="Q143:Q152" si="80">O143+P143</f>
        <v>198.92491199999998</v>
      </c>
      <c r="R143" s="41">
        <f t="shared" ref="R143:R152" si="81">VLOOKUP(K143,Credito1,2)</f>
        <v>145.35</v>
      </c>
      <c r="S143" s="41">
        <f t="shared" ref="S143:S152" si="82">Q143-R143</f>
        <v>53.574911999999983</v>
      </c>
      <c r="T143" s="43"/>
      <c r="U143" s="39">
        <f t="shared" ref="U143:U159" si="83">-IF(S143&gt;0,0,S143)</f>
        <v>0</v>
      </c>
      <c r="V143" s="44">
        <f>IF(S143&lt;0,0,S143)</f>
        <v>53.574911999999983</v>
      </c>
      <c r="W143" s="45">
        <v>0</v>
      </c>
      <c r="X143" s="39">
        <f t="shared" ref="X143:X159" si="84">SUM(V143:W143)</f>
        <v>53.574911999999983</v>
      </c>
      <c r="Y143" s="46">
        <f t="shared" ref="Y143:Y159" si="85">H143+U143-X143</f>
        <v>2731.425088</v>
      </c>
    </row>
    <row r="144" spans="1:25" s="23" customFormat="1" x14ac:dyDescent="0.25">
      <c r="A144" s="127">
        <v>93</v>
      </c>
      <c r="B144" s="61" t="s">
        <v>205</v>
      </c>
      <c r="C144" s="12" t="s">
        <v>206</v>
      </c>
      <c r="D144" s="11">
        <v>15</v>
      </c>
      <c r="E144" s="13">
        <f t="shared" si="72"/>
        <v>126.6</v>
      </c>
      <c r="F144" s="14">
        <v>1899</v>
      </c>
      <c r="G144" s="30">
        <v>0</v>
      </c>
      <c r="H144" s="39">
        <f>TRUNC(SUM(D144*E144)+G144,2)</f>
        <v>1899</v>
      </c>
      <c r="I144" s="40"/>
      <c r="J144" s="41">
        <v>0</v>
      </c>
      <c r="K144" s="41">
        <f>H144+J144</f>
        <v>1899</v>
      </c>
      <c r="L144" s="41">
        <f t="shared" si="75"/>
        <v>244.81</v>
      </c>
      <c r="M144" s="41">
        <f t="shared" si="76"/>
        <v>1654.19</v>
      </c>
      <c r="N144" s="42">
        <f t="shared" si="77"/>
        <v>6.4000000000000001E-2</v>
      </c>
      <c r="O144" s="41">
        <f t="shared" si="78"/>
        <v>105.86816</v>
      </c>
      <c r="P144" s="41">
        <f t="shared" si="79"/>
        <v>4.6500000000000004</v>
      </c>
      <c r="Q144" s="41">
        <f t="shared" si="80"/>
        <v>110.51816000000001</v>
      </c>
      <c r="R144" s="41">
        <f t="shared" si="81"/>
        <v>188.7</v>
      </c>
      <c r="S144" s="41">
        <f t="shared" si="82"/>
        <v>-78.18183999999998</v>
      </c>
      <c r="T144" s="43"/>
      <c r="U144" s="39">
        <f t="shared" si="83"/>
        <v>78.18183999999998</v>
      </c>
      <c r="V144" s="44">
        <f>IF(S144&lt;0,0,S144)</f>
        <v>0</v>
      </c>
      <c r="W144" s="45">
        <v>0</v>
      </c>
      <c r="X144" s="39">
        <f>SUM(V144:W144)</f>
        <v>0</v>
      </c>
      <c r="Y144" s="46">
        <f>H144+U144-X144</f>
        <v>1977.18184</v>
      </c>
    </row>
    <row r="145" spans="1:25" s="23" customFormat="1" x14ac:dyDescent="0.25">
      <c r="A145" s="127">
        <v>94</v>
      </c>
      <c r="B145" s="61" t="s">
        <v>207</v>
      </c>
      <c r="C145" s="12" t="s">
        <v>125</v>
      </c>
      <c r="D145" s="11">
        <v>15</v>
      </c>
      <c r="E145" s="13">
        <f>F145/15</f>
        <v>171.66666666666666</v>
      </c>
      <c r="F145" s="14">
        <v>2575</v>
      </c>
      <c r="G145" s="30">
        <v>0</v>
      </c>
      <c r="H145" s="39">
        <v>2575</v>
      </c>
      <c r="I145" s="40"/>
      <c r="J145" s="41">
        <v>1</v>
      </c>
      <c r="K145" s="41">
        <f>H145+J145</f>
        <v>2576</v>
      </c>
      <c r="L145" s="41">
        <f t="shared" si="75"/>
        <v>2077.5100000000002</v>
      </c>
      <c r="M145" s="41">
        <f t="shared" si="76"/>
        <v>498.48999999999978</v>
      </c>
      <c r="N145" s="42">
        <f t="shared" si="77"/>
        <v>0.10879999999999999</v>
      </c>
      <c r="O145" s="41">
        <f t="shared" si="78"/>
        <v>54.235711999999971</v>
      </c>
      <c r="P145" s="41">
        <f t="shared" si="79"/>
        <v>121.95</v>
      </c>
      <c r="Q145" s="41">
        <f t="shared" si="80"/>
        <v>176.18571199999997</v>
      </c>
      <c r="R145" s="41">
        <f t="shared" si="81"/>
        <v>160.35</v>
      </c>
      <c r="S145" s="41">
        <f t="shared" si="82"/>
        <v>15.835711999999972</v>
      </c>
      <c r="T145" s="43"/>
      <c r="U145" s="39">
        <f t="shared" si="83"/>
        <v>0</v>
      </c>
      <c r="V145" s="44">
        <v>7.57</v>
      </c>
      <c r="W145" s="45">
        <v>0</v>
      </c>
      <c r="X145" s="39">
        <f>SUM(V145:W145)</f>
        <v>7.57</v>
      </c>
      <c r="Y145" s="46">
        <f>H145+U145-X145</f>
        <v>2567.4299999999998</v>
      </c>
    </row>
    <row r="146" spans="1:25" s="23" customFormat="1" x14ac:dyDescent="0.25">
      <c r="A146" s="127">
        <v>95</v>
      </c>
      <c r="B146" s="32" t="s">
        <v>208</v>
      </c>
      <c r="C146" s="12" t="s">
        <v>209</v>
      </c>
      <c r="D146" s="11">
        <v>15</v>
      </c>
      <c r="E146" s="13">
        <f>F146/15</f>
        <v>133.66666666666666</v>
      </c>
      <c r="F146" s="14">
        <v>2005</v>
      </c>
      <c r="G146" s="30">
        <v>0</v>
      </c>
      <c r="H146" s="39">
        <f>TRUNC(SUM(D146*E146)+G146,2)</f>
        <v>2005</v>
      </c>
      <c r="I146" s="40"/>
      <c r="J146" s="41">
        <v>0</v>
      </c>
      <c r="K146" s="41">
        <f>H146+J146</f>
        <v>2005</v>
      </c>
      <c r="L146" s="41">
        <f t="shared" si="75"/>
        <v>244.81</v>
      </c>
      <c r="M146" s="41">
        <f t="shared" si="76"/>
        <v>1760.19</v>
      </c>
      <c r="N146" s="42">
        <f t="shared" si="77"/>
        <v>6.4000000000000001E-2</v>
      </c>
      <c r="O146" s="41">
        <f t="shared" si="78"/>
        <v>112.65216000000001</v>
      </c>
      <c r="P146" s="41">
        <f t="shared" si="79"/>
        <v>4.6500000000000004</v>
      </c>
      <c r="Q146" s="41">
        <f t="shared" si="80"/>
        <v>117.30216000000001</v>
      </c>
      <c r="R146" s="41">
        <f t="shared" si="81"/>
        <v>188.7</v>
      </c>
      <c r="S146" s="41">
        <f t="shared" si="82"/>
        <v>-71.397839999999974</v>
      </c>
      <c r="T146" s="43"/>
      <c r="U146" s="39">
        <f t="shared" si="83"/>
        <v>71.397839999999974</v>
      </c>
      <c r="V146" s="44">
        <f>IF(S146&lt;0,0,S146)</f>
        <v>0</v>
      </c>
      <c r="W146" s="45">
        <v>0</v>
      </c>
      <c r="X146" s="39">
        <f>SUM(V146:W146)</f>
        <v>0</v>
      </c>
      <c r="Y146" s="46">
        <f>H146+U146-X146</f>
        <v>2076.3978400000001</v>
      </c>
    </row>
    <row r="147" spans="1:25" s="23" customFormat="1" x14ac:dyDescent="0.25">
      <c r="A147" s="127">
        <v>96</v>
      </c>
      <c r="B147" s="32" t="s">
        <v>210</v>
      </c>
      <c r="C147" s="12" t="s">
        <v>125</v>
      </c>
      <c r="D147" s="11">
        <v>15</v>
      </c>
      <c r="E147" s="13">
        <f>F147/15</f>
        <v>133.66666666666666</v>
      </c>
      <c r="F147" s="14">
        <v>2005</v>
      </c>
      <c r="G147" s="30">
        <v>0</v>
      </c>
      <c r="H147" s="39">
        <f>TRUNC(SUM(D147*E147)+G147,2)</f>
        <v>2005</v>
      </c>
      <c r="I147" s="40"/>
      <c r="J147" s="41">
        <v>0</v>
      </c>
      <c r="K147" s="41">
        <f>H147+J147</f>
        <v>2005</v>
      </c>
      <c r="L147" s="41">
        <f t="shared" si="75"/>
        <v>244.81</v>
      </c>
      <c r="M147" s="41">
        <f t="shared" si="76"/>
        <v>1760.19</v>
      </c>
      <c r="N147" s="42">
        <f t="shared" si="77"/>
        <v>6.4000000000000001E-2</v>
      </c>
      <c r="O147" s="41">
        <f t="shared" si="78"/>
        <v>112.65216000000001</v>
      </c>
      <c r="P147" s="41">
        <f t="shared" si="79"/>
        <v>4.6500000000000004</v>
      </c>
      <c r="Q147" s="41">
        <f t="shared" si="80"/>
        <v>117.30216000000001</v>
      </c>
      <c r="R147" s="41">
        <f t="shared" si="81"/>
        <v>188.7</v>
      </c>
      <c r="S147" s="41">
        <f t="shared" si="82"/>
        <v>-71.397839999999974</v>
      </c>
      <c r="T147" s="43"/>
      <c r="U147" s="39">
        <f t="shared" si="83"/>
        <v>71.397839999999974</v>
      </c>
      <c r="V147" s="44"/>
      <c r="W147" s="45">
        <v>0</v>
      </c>
      <c r="X147" s="39">
        <f>SUM(V147:W147)</f>
        <v>0</v>
      </c>
      <c r="Y147" s="46">
        <f>H147+U147-X147</f>
        <v>2076.3978400000001</v>
      </c>
    </row>
    <row r="148" spans="1:25" s="23" customFormat="1" x14ac:dyDescent="0.25">
      <c r="A148" s="127">
        <v>97</v>
      </c>
      <c r="B148" s="32" t="s">
        <v>211</v>
      </c>
      <c r="C148" s="12" t="s">
        <v>209</v>
      </c>
      <c r="D148" s="11">
        <v>15</v>
      </c>
      <c r="E148" s="13">
        <f>F148/15</f>
        <v>133.66666666666666</v>
      </c>
      <c r="F148" s="14">
        <v>2005</v>
      </c>
      <c r="G148" s="30">
        <v>0</v>
      </c>
      <c r="H148" s="39">
        <f>TRUNC(SUM(D148*E148)+G148,2)</f>
        <v>2005</v>
      </c>
      <c r="I148" s="40"/>
      <c r="J148" s="41">
        <v>0</v>
      </c>
      <c r="K148" s="41">
        <f>H148+J148</f>
        <v>2005</v>
      </c>
      <c r="L148" s="41">
        <f t="shared" si="75"/>
        <v>244.81</v>
      </c>
      <c r="M148" s="41">
        <f t="shared" si="76"/>
        <v>1760.19</v>
      </c>
      <c r="N148" s="42">
        <f t="shared" si="77"/>
        <v>6.4000000000000001E-2</v>
      </c>
      <c r="O148" s="41">
        <f t="shared" si="78"/>
        <v>112.65216000000001</v>
      </c>
      <c r="P148" s="41">
        <f t="shared" si="79"/>
        <v>4.6500000000000004</v>
      </c>
      <c r="Q148" s="41">
        <f t="shared" si="80"/>
        <v>117.30216000000001</v>
      </c>
      <c r="R148" s="41">
        <f t="shared" si="81"/>
        <v>188.7</v>
      </c>
      <c r="S148" s="41">
        <f t="shared" si="82"/>
        <v>-71.397839999999974</v>
      </c>
      <c r="T148" s="43"/>
      <c r="U148" s="39">
        <f t="shared" si="83"/>
        <v>71.397839999999974</v>
      </c>
      <c r="V148" s="44">
        <f>IF(S148&lt;0,0,S148)</f>
        <v>0</v>
      </c>
      <c r="W148" s="45">
        <v>0</v>
      </c>
      <c r="X148" s="39">
        <f>SUM(V148:W148)</f>
        <v>0</v>
      </c>
      <c r="Y148" s="46">
        <f>H148+U148-X148</f>
        <v>2076.3978400000001</v>
      </c>
    </row>
    <row r="149" spans="1:25" s="23" customFormat="1" x14ac:dyDescent="0.25">
      <c r="A149" s="127">
        <v>98</v>
      </c>
      <c r="B149" s="32" t="s">
        <v>212</v>
      </c>
      <c r="C149" s="12" t="s">
        <v>125</v>
      </c>
      <c r="D149" s="11">
        <v>15</v>
      </c>
      <c r="E149" s="13">
        <f t="shared" si="72"/>
        <v>133.66666666666666</v>
      </c>
      <c r="F149" s="14">
        <v>2005</v>
      </c>
      <c r="G149" s="30">
        <v>0</v>
      </c>
      <c r="H149" s="39">
        <f t="shared" si="73"/>
        <v>2005</v>
      </c>
      <c r="I149" s="40"/>
      <c r="J149" s="41">
        <v>0</v>
      </c>
      <c r="K149" s="41">
        <f t="shared" si="74"/>
        <v>2005</v>
      </c>
      <c r="L149" s="41">
        <f t="shared" si="75"/>
        <v>244.81</v>
      </c>
      <c r="M149" s="41">
        <f t="shared" si="76"/>
        <v>1760.19</v>
      </c>
      <c r="N149" s="42">
        <f t="shared" si="77"/>
        <v>6.4000000000000001E-2</v>
      </c>
      <c r="O149" s="41">
        <f t="shared" si="78"/>
        <v>112.65216000000001</v>
      </c>
      <c r="P149" s="41">
        <f t="shared" si="79"/>
        <v>4.6500000000000004</v>
      </c>
      <c r="Q149" s="41">
        <f t="shared" si="80"/>
        <v>117.30216000000001</v>
      </c>
      <c r="R149" s="41">
        <f t="shared" si="81"/>
        <v>188.7</v>
      </c>
      <c r="S149" s="41">
        <f t="shared" si="82"/>
        <v>-71.397839999999974</v>
      </c>
      <c r="T149" s="43"/>
      <c r="U149" s="39">
        <f t="shared" si="83"/>
        <v>71.397839999999974</v>
      </c>
      <c r="V149" s="44">
        <f t="shared" ref="V149:V159" si="86">IF(S149&lt;0,0,S149)</f>
        <v>0</v>
      </c>
      <c r="W149" s="45">
        <v>0</v>
      </c>
      <c r="X149" s="39">
        <f t="shared" si="84"/>
        <v>0</v>
      </c>
      <c r="Y149" s="46">
        <f t="shared" si="85"/>
        <v>2076.3978400000001</v>
      </c>
    </row>
    <row r="150" spans="1:25" s="23" customFormat="1" x14ac:dyDescent="0.25">
      <c r="A150" s="127">
        <v>99</v>
      </c>
      <c r="B150" s="32" t="s">
        <v>213</v>
      </c>
      <c r="C150" s="12" t="s">
        <v>125</v>
      </c>
      <c r="D150" s="11">
        <v>15</v>
      </c>
      <c r="E150" s="13">
        <f t="shared" si="72"/>
        <v>185.66666666666666</v>
      </c>
      <c r="F150" s="14">
        <v>2785</v>
      </c>
      <c r="G150" s="30">
        <v>0</v>
      </c>
      <c r="H150" s="39">
        <f t="shared" si="73"/>
        <v>2785</v>
      </c>
      <c r="I150" s="40"/>
      <c r="J150" s="41">
        <v>0</v>
      </c>
      <c r="K150" s="41">
        <f t="shared" si="74"/>
        <v>2785</v>
      </c>
      <c r="L150" s="41">
        <f t="shared" si="75"/>
        <v>2077.5100000000002</v>
      </c>
      <c r="M150" s="41">
        <f t="shared" si="76"/>
        <v>707.48999999999978</v>
      </c>
      <c r="N150" s="42">
        <f t="shared" si="77"/>
        <v>0.10879999999999999</v>
      </c>
      <c r="O150" s="41">
        <f t="shared" si="78"/>
        <v>76.974911999999975</v>
      </c>
      <c r="P150" s="41">
        <f t="shared" si="79"/>
        <v>121.95</v>
      </c>
      <c r="Q150" s="41">
        <f t="shared" si="80"/>
        <v>198.92491199999998</v>
      </c>
      <c r="R150" s="41">
        <f t="shared" si="81"/>
        <v>145.35</v>
      </c>
      <c r="S150" s="41">
        <f t="shared" si="82"/>
        <v>53.574911999999983</v>
      </c>
      <c r="T150" s="43"/>
      <c r="U150" s="39">
        <f t="shared" si="83"/>
        <v>0</v>
      </c>
      <c r="V150" s="44">
        <f t="shared" si="86"/>
        <v>53.574911999999983</v>
      </c>
      <c r="W150" s="45">
        <v>0</v>
      </c>
      <c r="X150" s="39">
        <f t="shared" si="84"/>
        <v>53.574911999999983</v>
      </c>
      <c r="Y150" s="46">
        <f t="shared" si="85"/>
        <v>2731.425088</v>
      </c>
    </row>
    <row r="151" spans="1:25" s="23" customFormat="1" x14ac:dyDescent="0.25">
      <c r="A151" s="127">
        <v>100</v>
      </c>
      <c r="B151" s="32" t="s">
        <v>214</v>
      </c>
      <c r="C151" s="12" t="s">
        <v>125</v>
      </c>
      <c r="D151" s="11">
        <v>15</v>
      </c>
      <c r="E151" s="13">
        <f t="shared" si="72"/>
        <v>121.8</v>
      </c>
      <c r="F151" s="14">
        <v>1827</v>
      </c>
      <c r="G151" s="30">
        <v>0</v>
      </c>
      <c r="H151" s="39">
        <f t="shared" si="73"/>
        <v>1827</v>
      </c>
      <c r="I151" s="40"/>
      <c r="J151" s="41">
        <v>0</v>
      </c>
      <c r="K151" s="41">
        <f t="shared" si="74"/>
        <v>1827</v>
      </c>
      <c r="L151" s="41">
        <f t="shared" si="75"/>
        <v>244.81</v>
      </c>
      <c r="M151" s="41">
        <f t="shared" si="76"/>
        <v>1582.19</v>
      </c>
      <c r="N151" s="42">
        <f t="shared" si="77"/>
        <v>6.4000000000000001E-2</v>
      </c>
      <c r="O151" s="41">
        <f t="shared" si="78"/>
        <v>101.26016</v>
      </c>
      <c r="P151" s="41">
        <f t="shared" si="79"/>
        <v>4.6500000000000004</v>
      </c>
      <c r="Q151" s="41">
        <f t="shared" si="80"/>
        <v>105.91016</v>
      </c>
      <c r="R151" s="41">
        <f t="shared" si="81"/>
        <v>188.7</v>
      </c>
      <c r="S151" s="41">
        <f t="shared" si="82"/>
        <v>-82.789839999999984</v>
      </c>
      <c r="T151" s="43"/>
      <c r="U151" s="39">
        <f t="shared" si="83"/>
        <v>82.789839999999984</v>
      </c>
      <c r="V151" s="44">
        <f t="shared" si="86"/>
        <v>0</v>
      </c>
      <c r="W151" s="45">
        <v>0</v>
      </c>
      <c r="X151" s="39">
        <f t="shared" si="84"/>
        <v>0</v>
      </c>
      <c r="Y151" s="46">
        <f t="shared" si="85"/>
        <v>1909.7898399999999</v>
      </c>
    </row>
    <row r="152" spans="1:25" s="23" customFormat="1" x14ac:dyDescent="0.25">
      <c r="A152" s="127">
        <v>101</v>
      </c>
      <c r="B152" s="32" t="s">
        <v>215</v>
      </c>
      <c r="C152" s="12" t="s">
        <v>125</v>
      </c>
      <c r="D152" s="11">
        <v>15</v>
      </c>
      <c r="E152" s="13">
        <f t="shared" si="72"/>
        <v>139.19999999999999</v>
      </c>
      <c r="F152" s="14">
        <v>2088</v>
      </c>
      <c r="G152" s="30">
        <v>0</v>
      </c>
      <c r="H152" s="39">
        <f t="shared" si="73"/>
        <v>2088</v>
      </c>
      <c r="I152" s="40"/>
      <c r="J152" s="41">
        <v>0</v>
      </c>
      <c r="K152" s="41">
        <f t="shared" si="74"/>
        <v>2088</v>
      </c>
      <c r="L152" s="41">
        <f t="shared" si="75"/>
        <v>2077.5100000000002</v>
      </c>
      <c r="M152" s="41">
        <f t="shared" si="76"/>
        <v>10.489999999999782</v>
      </c>
      <c r="N152" s="42">
        <f t="shared" si="77"/>
        <v>0.10879999999999999</v>
      </c>
      <c r="O152" s="41">
        <f t="shared" si="78"/>
        <v>1.1413119999999761</v>
      </c>
      <c r="P152" s="41">
        <f t="shared" si="79"/>
        <v>121.95</v>
      </c>
      <c r="Q152" s="41">
        <f t="shared" si="80"/>
        <v>123.09131199999997</v>
      </c>
      <c r="R152" s="41">
        <f t="shared" si="81"/>
        <v>188.7</v>
      </c>
      <c r="S152" s="41">
        <f t="shared" si="82"/>
        <v>-65.608688000000015</v>
      </c>
      <c r="T152" s="43"/>
      <c r="U152" s="39">
        <f t="shared" si="83"/>
        <v>65.608688000000015</v>
      </c>
      <c r="V152" s="44">
        <f t="shared" si="86"/>
        <v>0</v>
      </c>
      <c r="W152" s="62">
        <v>0</v>
      </c>
      <c r="X152" s="39">
        <f t="shared" si="84"/>
        <v>0</v>
      </c>
      <c r="Y152" s="46">
        <f t="shared" si="85"/>
        <v>2153.6086879999998</v>
      </c>
    </row>
    <row r="153" spans="1:25" s="23" customFormat="1" x14ac:dyDescent="0.25">
      <c r="A153" s="127">
        <v>102</v>
      </c>
      <c r="B153" s="61" t="s">
        <v>216</v>
      </c>
      <c r="C153" s="12" t="s">
        <v>125</v>
      </c>
      <c r="D153" s="11">
        <v>15</v>
      </c>
      <c r="E153" s="13">
        <f t="shared" si="72"/>
        <v>125.86666666666666</v>
      </c>
      <c r="F153" s="14">
        <v>1888</v>
      </c>
      <c r="G153" s="30">
        <v>0</v>
      </c>
      <c r="H153" s="39">
        <f t="shared" si="73"/>
        <v>1888</v>
      </c>
      <c r="I153" s="40"/>
      <c r="J153" s="41"/>
      <c r="K153" s="41"/>
      <c r="L153" s="41"/>
      <c r="M153" s="41"/>
      <c r="N153" s="42"/>
      <c r="O153" s="41"/>
      <c r="P153" s="41"/>
      <c r="Q153" s="41"/>
      <c r="R153" s="41"/>
      <c r="S153" s="41"/>
      <c r="T153" s="43"/>
      <c r="U153" s="39">
        <v>82.39</v>
      </c>
      <c r="V153" s="44">
        <f t="shared" si="86"/>
        <v>0</v>
      </c>
      <c r="W153" s="62">
        <v>0</v>
      </c>
      <c r="X153" s="39">
        <f t="shared" si="84"/>
        <v>0</v>
      </c>
      <c r="Y153" s="46">
        <f t="shared" si="85"/>
        <v>1970.39</v>
      </c>
    </row>
    <row r="154" spans="1:25" s="23" customFormat="1" x14ac:dyDescent="0.25">
      <c r="A154" s="127">
        <v>103</v>
      </c>
      <c r="B154" s="32" t="s">
        <v>217</v>
      </c>
      <c r="C154" s="12" t="s">
        <v>125</v>
      </c>
      <c r="D154" s="11">
        <v>15</v>
      </c>
      <c r="E154" s="13">
        <f t="shared" si="72"/>
        <v>125.86666666666666</v>
      </c>
      <c r="F154" s="14">
        <v>1888</v>
      </c>
      <c r="G154" s="30">
        <v>0</v>
      </c>
      <c r="H154" s="39">
        <f t="shared" si="73"/>
        <v>1888</v>
      </c>
      <c r="I154" s="40"/>
      <c r="J154" s="41">
        <v>0</v>
      </c>
      <c r="K154" s="41">
        <f t="shared" si="74"/>
        <v>1888</v>
      </c>
      <c r="L154" s="41">
        <f>VLOOKUP(K154,Tarifa1,1)</f>
        <v>244.81</v>
      </c>
      <c r="M154" s="41">
        <f t="shared" ref="M154:M160" si="87">K154-L154</f>
        <v>1643.19</v>
      </c>
      <c r="N154" s="42">
        <f>VLOOKUP(K154,Tarifa1,3)</f>
        <v>6.4000000000000001E-2</v>
      </c>
      <c r="O154" s="41">
        <f t="shared" ref="O154:O160" si="88">M154*N154</f>
        <v>105.16416000000001</v>
      </c>
      <c r="P154" s="41">
        <f>VLOOKUP(K154,Tarifa1,2)</f>
        <v>4.6500000000000004</v>
      </c>
      <c r="Q154" s="41">
        <f t="shared" ref="Q154:Q160" si="89">O154+P154</f>
        <v>109.81416000000002</v>
      </c>
      <c r="R154" s="41">
        <f>VLOOKUP(K154,Credito1,2)</f>
        <v>188.7</v>
      </c>
      <c r="S154" s="41">
        <f t="shared" ref="S154:S160" si="90">Q154-R154</f>
        <v>-78.885839999999973</v>
      </c>
      <c r="T154" s="43"/>
      <c r="U154" s="39">
        <f t="shared" si="83"/>
        <v>78.885839999999973</v>
      </c>
      <c r="V154" s="44">
        <f t="shared" si="86"/>
        <v>0</v>
      </c>
      <c r="W154" s="45">
        <v>0</v>
      </c>
      <c r="X154" s="39">
        <f t="shared" si="84"/>
        <v>0</v>
      </c>
      <c r="Y154" s="46">
        <f t="shared" si="85"/>
        <v>1966.8858399999999</v>
      </c>
    </row>
    <row r="155" spans="1:25" s="23" customFormat="1" x14ac:dyDescent="0.25">
      <c r="A155" s="127">
        <v>104</v>
      </c>
      <c r="B155" s="63" t="s">
        <v>218</v>
      </c>
      <c r="C155" s="12" t="s">
        <v>129</v>
      </c>
      <c r="D155" s="11">
        <v>15</v>
      </c>
      <c r="E155" s="13">
        <f t="shared" si="72"/>
        <v>174.26666666666668</v>
      </c>
      <c r="F155" s="14">
        <v>2614</v>
      </c>
      <c r="G155" s="30">
        <v>0</v>
      </c>
      <c r="H155" s="39">
        <f t="shared" si="73"/>
        <v>2614</v>
      </c>
      <c r="I155" s="40"/>
      <c r="J155" s="41">
        <v>0</v>
      </c>
      <c r="K155" s="41">
        <f t="shared" si="74"/>
        <v>2614</v>
      </c>
      <c r="L155" s="41">
        <f>VLOOKUP(K155,Tarifa1,1)</f>
        <v>2077.5100000000002</v>
      </c>
      <c r="M155" s="41">
        <f t="shared" si="87"/>
        <v>536.48999999999978</v>
      </c>
      <c r="N155" s="42">
        <f>VLOOKUP(K155,Tarifa1,3)</f>
        <v>0.10879999999999999</v>
      </c>
      <c r="O155" s="41">
        <f t="shared" si="88"/>
        <v>58.37011199999997</v>
      </c>
      <c r="P155" s="41">
        <f>VLOOKUP(K155,Tarifa1,2)</f>
        <v>121.95</v>
      </c>
      <c r="Q155" s="41">
        <f t="shared" si="89"/>
        <v>180.32011199999997</v>
      </c>
      <c r="R155" s="41">
        <f>VLOOKUP(K155,Credito1,2)</f>
        <v>160.35</v>
      </c>
      <c r="S155" s="41">
        <f t="shared" si="90"/>
        <v>19.970111999999972</v>
      </c>
      <c r="T155" s="43"/>
      <c r="U155" s="39">
        <f t="shared" si="83"/>
        <v>0</v>
      </c>
      <c r="V155" s="44">
        <f t="shared" si="86"/>
        <v>19.970111999999972</v>
      </c>
      <c r="W155" s="45">
        <v>0</v>
      </c>
      <c r="X155" s="39">
        <f t="shared" si="84"/>
        <v>19.970111999999972</v>
      </c>
      <c r="Y155" s="46">
        <f t="shared" si="85"/>
        <v>2594.029888</v>
      </c>
    </row>
    <row r="156" spans="1:25" s="23" customFormat="1" x14ac:dyDescent="0.25">
      <c r="A156" s="127">
        <v>105</v>
      </c>
      <c r="B156" s="32" t="s">
        <v>219</v>
      </c>
      <c r="C156" s="12" t="s">
        <v>220</v>
      </c>
      <c r="D156" s="11">
        <v>15</v>
      </c>
      <c r="E156" s="13">
        <f t="shared" si="72"/>
        <v>90.2</v>
      </c>
      <c r="F156" s="14">
        <v>1353</v>
      </c>
      <c r="G156" s="30">
        <v>0</v>
      </c>
      <c r="H156" s="39">
        <f>TRUNC(SUM(D156*E156)+G156,2)</f>
        <v>1353</v>
      </c>
      <c r="I156" s="40"/>
      <c r="J156" s="41">
        <v>0</v>
      </c>
      <c r="K156" s="41">
        <f t="shared" si="74"/>
        <v>1353</v>
      </c>
      <c r="L156" s="41">
        <f>VLOOKUP(K156,Tarifa1,1)</f>
        <v>244.81</v>
      </c>
      <c r="M156" s="41">
        <f t="shared" si="87"/>
        <v>1108.19</v>
      </c>
      <c r="N156" s="42">
        <f>VLOOKUP(K156,Tarifa1,3)</f>
        <v>6.4000000000000001E-2</v>
      </c>
      <c r="O156" s="41">
        <f t="shared" si="88"/>
        <v>70.924160000000001</v>
      </c>
      <c r="P156" s="41">
        <f>VLOOKUP(K156,Tarifa1,2)</f>
        <v>4.6500000000000004</v>
      </c>
      <c r="Q156" s="41">
        <f t="shared" si="89"/>
        <v>75.574160000000006</v>
      </c>
      <c r="R156" s="41">
        <f>VLOOKUP(K156,Credito1,2)</f>
        <v>200.7</v>
      </c>
      <c r="S156" s="41">
        <f t="shared" si="90"/>
        <v>-125.12583999999998</v>
      </c>
      <c r="T156" s="43"/>
      <c r="U156" s="39">
        <f t="shared" si="83"/>
        <v>125.12583999999998</v>
      </c>
      <c r="V156" s="44">
        <f t="shared" si="86"/>
        <v>0</v>
      </c>
      <c r="W156" s="45">
        <v>0</v>
      </c>
      <c r="X156" s="39">
        <f t="shared" si="84"/>
        <v>0</v>
      </c>
      <c r="Y156" s="46">
        <f t="shared" si="85"/>
        <v>1478.1258399999999</v>
      </c>
    </row>
    <row r="157" spans="1:25" s="23" customFormat="1" x14ac:dyDescent="0.25">
      <c r="A157" s="127">
        <v>106</v>
      </c>
      <c r="B157" s="32" t="s">
        <v>221</v>
      </c>
      <c r="C157" s="12" t="s">
        <v>220</v>
      </c>
      <c r="D157" s="11">
        <v>15</v>
      </c>
      <c r="E157" s="13">
        <f t="shared" si="72"/>
        <v>90.2</v>
      </c>
      <c r="F157" s="14">
        <v>1353</v>
      </c>
      <c r="G157" s="30">
        <v>0</v>
      </c>
      <c r="H157" s="39">
        <f>TRUNC(SUM(D157*E157)+G157,2)</f>
        <v>1353</v>
      </c>
      <c r="I157" s="40"/>
      <c r="J157" s="41">
        <v>0</v>
      </c>
      <c r="K157" s="41">
        <f t="shared" si="74"/>
        <v>1353</v>
      </c>
      <c r="L157" s="41">
        <f>VLOOKUP(K157,Tarifa1,1)</f>
        <v>244.81</v>
      </c>
      <c r="M157" s="41">
        <f t="shared" si="87"/>
        <v>1108.19</v>
      </c>
      <c r="N157" s="42">
        <f>VLOOKUP(K157,Tarifa1,3)</f>
        <v>6.4000000000000001E-2</v>
      </c>
      <c r="O157" s="41">
        <f t="shared" si="88"/>
        <v>70.924160000000001</v>
      </c>
      <c r="P157" s="41">
        <f>VLOOKUP(K157,Tarifa1,2)</f>
        <v>4.6500000000000004</v>
      </c>
      <c r="Q157" s="41">
        <f t="shared" si="89"/>
        <v>75.574160000000006</v>
      </c>
      <c r="R157" s="41">
        <f>VLOOKUP(K157,Credito1,2)</f>
        <v>200.7</v>
      </c>
      <c r="S157" s="41">
        <f t="shared" si="90"/>
        <v>-125.12583999999998</v>
      </c>
      <c r="T157" s="43"/>
      <c r="U157" s="39">
        <f t="shared" si="83"/>
        <v>125.12583999999998</v>
      </c>
      <c r="V157" s="44">
        <f t="shared" si="86"/>
        <v>0</v>
      </c>
      <c r="W157" s="45">
        <v>0</v>
      </c>
      <c r="X157" s="39">
        <f t="shared" si="84"/>
        <v>0</v>
      </c>
      <c r="Y157" s="46">
        <f t="shared" si="85"/>
        <v>1478.1258399999999</v>
      </c>
    </row>
    <row r="158" spans="1:25" s="23" customFormat="1" x14ac:dyDescent="0.25">
      <c r="A158" s="127">
        <v>107</v>
      </c>
      <c r="B158" s="32" t="s">
        <v>222</v>
      </c>
      <c r="C158" s="12" t="s">
        <v>223</v>
      </c>
      <c r="D158" s="11">
        <v>15</v>
      </c>
      <c r="E158" s="13">
        <f t="shared" si="72"/>
        <v>106.93333333333334</v>
      </c>
      <c r="F158" s="14">
        <v>1604</v>
      </c>
      <c r="G158" s="30">
        <v>0</v>
      </c>
      <c r="H158" s="39">
        <f>TRUNC(SUM(D158*E158)+G158,2)</f>
        <v>1604</v>
      </c>
      <c r="I158" s="40"/>
      <c r="J158" s="41">
        <v>0</v>
      </c>
      <c r="K158" s="41">
        <f t="shared" si="74"/>
        <v>1604</v>
      </c>
      <c r="L158" s="41">
        <f>VLOOKUP(K158,Tarifa1,1)</f>
        <v>244.81</v>
      </c>
      <c r="M158" s="41">
        <f t="shared" si="87"/>
        <v>1359.19</v>
      </c>
      <c r="N158" s="42">
        <f>VLOOKUP(K158,Tarifa1,3)</f>
        <v>6.4000000000000001E-2</v>
      </c>
      <c r="O158" s="41">
        <f t="shared" si="88"/>
        <v>86.988160000000008</v>
      </c>
      <c r="P158" s="41">
        <f>VLOOKUP(K158,Tarifa1,2)</f>
        <v>4.6500000000000004</v>
      </c>
      <c r="Q158" s="41">
        <f t="shared" si="89"/>
        <v>91.638160000000013</v>
      </c>
      <c r="R158" s="41">
        <f>VLOOKUP(K158,Credito1,2)</f>
        <v>200.7</v>
      </c>
      <c r="S158" s="41">
        <f t="shared" si="90"/>
        <v>-109.06183999999998</v>
      </c>
      <c r="T158" s="43"/>
      <c r="U158" s="39">
        <f t="shared" si="83"/>
        <v>109.06183999999998</v>
      </c>
      <c r="V158" s="44">
        <f t="shared" si="86"/>
        <v>0</v>
      </c>
      <c r="W158" s="45">
        <v>0</v>
      </c>
      <c r="X158" s="39">
        <f t="shared" si="84"/>
        <v>0</v>
      </c>
      <c r="Y158" s="46">
        <f t="shared" si="85"/>
        <v>1713.0618400000001</v>
      </c>
    </row>
    <row r="159" spans="1:25" s="23" customFormat="1" x14ac:dyDescent="0.25">
      <c r="A159" s="127">
        <v>108</v>
      </c>
      <c r="B159" s="32" t="s">
        <v>224</v>
      </c>
      <c r="C159" s="12" t="s">
        <v>225</v>
      </c>
      <c r="D159" s="11">
        <v>15</v>
      </c>
      <c r="E159" s="13">
        <f t="shared" si="72"/>
        <v>133.66666666666666</v>
      </c>
      <c r="F159" s="64">
        <v>2005</v>
      </c>
      <c r="G159" s="65">
        <v>0</v>
      </c>
      <c r="H159" s="66">
        <f>TRUNC(SUM(D159*E159)+G159,2)</f>
        <v>2005</v>
      </c>
      <c r="I159" s="40"/>
      <c r="J159" s="67">
        <v>0</v>
      </c>
      <c r="K159" s="67">
        <f t="shared" si="74"/>
        <v>2005</v>
      </c>
      <c r="L159" s="67">
        <f>IF(H159=0,0,VLOOKUP(K159,Tarifa1,1))</f>
        <v>244.81</v>
      </c>
      <c r="M159" s="67">
        <f t="shared" si="87"/>
        <v>1760.19</v>
      </c>
      <c r="N159" s="68">
        <f>IF(H159=0,0,VLOOKUP(K159,Tarifa1,3))</f>
        <v>6.4000000000000001E-2</v>
      </c>
      <c r="O159" s="67">
        <f t="shared" si="88"/>
        <v>112.65216000000001</v>
      </c>
      <c r="P159" s="67">
        <f>IF(H159=0,0,VLOOKUP(K159,Tarifa1,2))</f>
        <v>4.6500000000000004</v>
      </c>
      <c r="Q159" s="67">
        <f t="shared" si="89"/>
        <v>117.30216000000001</v>
      </c>
      <c r="R159" s="67">
        <f>IF(H159=0,0,VLOOKUP(K159,Credito1,2))</f>
        <v>188.7</v>
      </c>
      <c r="S159" s="67">
        <f t="shared" si="90"/>
        <v>-71.397839999999974</v>
      </c>
      <c r="T159" s="43"/>
      <c r="U159" s="66">
        <f t="shared" si="83"/>
        <v>71.397839999999974</v>
      </c>
      <c r="V159" s="69">
        <f t="shared" si="86"/>
        <v>0</v>
      </c>
      <c r="W159" s="70">
        <v>0</v>
      </c>
      <c r="X159" s="66">
        <f t="shared" si="84"/>
        <v>0</v>
      </c>
      <c r="Y159" s="71">
        <f t="shared" si="85"/>
        <v>2076.3978400000001</v>
      </c>
    </row>
    <row r="160" spans="1:25" s="23" customFormat="1" ht="29.25" x14ac:dyDescent="0.25">
      <c r="A160" s="127">
        <v>109</v>
      </c>
      <c r="B160" s="32" t="s">
        <v>226</v>
      </c>
      <c r="C160" s="12" t="s">
        <v>227</v>
      </c>
      <c r="D160" s="11"/>
      <c r="E160" s="72"/>
      <c r="F160" s="73">
        <v>1840</v>
      </c>
      <c r="G160" s="74">
        <v>0</v>
      </c>
      <c r="H160" s="75">
        <v>1840</v>
      </c>
      <c r="I160" s="76"/>
      <c r="J160" s="77">
        <v>0</v>
      </c>
      <c r="K160" s="77">
        <f>H160+J160</f>
        <v>1840</v>
      </c>
      <c r="L160" s="77">
        <f>VLOOKUP(K160,Tarifa1,1)</f>
        <v>244.81</v>
      </c>
      <c r="M160" s="77">
        <f t="shared" si="87"/>
        <v>1595.19</v>
      </c>
      <c r="N160" s="78">
        <f>VLOOKUP(K160,Tarifa1,3)</f>
        <v>6.4000000000000001E-2</v>
      </c>
      <c r="O160" s="77">
        <f t="shared" si="88"/>
        <v>102.09216000000001</v>
      </c>
      <c r="P160" s="77">
        <f>VLOOKUP(K160,Tarifa1,2)</f>
        <v>4.6500000000000004</v>
      </c>
      <c r="Q160" s="77">
        <f t="shared" si="89"/>
        <v>106.74216000000001</v>
      </c>
      <c r="R160" s="77">
        <f>VLOOKUP(K160,Credito1,2)</f>
        <v>188.7</v>
      </c>
      <c r="S160" s="77">
        <f t="shared" si="90"/>
        <v>-81.957839999999976</v>
      </c>
      <c r="T160" s="79"/>
      <c r="U160" s="80">
        <v>78.569999999999993</v>
      </c>
      <c r="V160" s="81">
        <v>0</v>
      </c>
      <c r="W160" s="82">
        <v>0</v>
      </c>
      <c r="X160" s="75">
        <f>SUM(V160:W160)</f>
        <v>0</v>
      </c>
      <c r="Y160" s="83">
        <f>H160+U160-X160</f>
        <v>1918.57</v>
      </c>
    </row>
    <row r="161" spans="1:25" s="23" customFormat="1" x14ac:dyDescent="0.25">
      <c r="A161" s="127"/>
      <c r="B161" s="59" t="s">
        <v>228</v>
      </c>
      <c r="C161" s="12"/>
      <c r="D161" s="11"/>
      <c r="E161" s="60"/>
      <c r="F161" s="14"/>
      <c r="G161" s="30"/>
      <c r="H161" s="39"/>
      <c r="I161" s="40"/>
      <c r="J161" s="41"/>
      <c r="K161" s="41"/>
      <c r="L161" s="41"/>
      <c r="M161" s="41"/>
      <c r="N161" s="42"/>
      <c r="O161" s="41"/>
      <c r="P161" s="41"/>
      <c r="Q161" s="41"/>
      <c r="R161" s="41"/>
      <c r="S161" s="41"/>
      <c r="T161" s="43"/>
      <c r="U161" s="39"/>
      <c r="V161" s="44"/>
      <c r="W161" s="45"/>
      <c r="X161" s="39"/>
      <c r="Y161" s="46"/>
    </row>
    <row r="162" spans="1:25" s="23" customFormat="1" ht="26.25" x14ac:dyDescent="0.25">
      <c r="A162" s="128">
        <v>110</v>
      </c>
      <c r="B162" s="84" t="s">
        <v>229</v>
      </c>
      <c r="C162" s="85" t="s">
        <v>230</v>
      </c>
      <c r="D162" s="86">
        <v>15</v>
      </c>
      <c r="E162" s="87">
        <f t="shared" si="72"/>
        <v>126.2</v>
      </c>
      <c r="F162" s="88">
        <v>1893</v>
      </c>
      <c r="G162" s="89">
        <v>0</v>
      </c>
      <c r="H162" s="66">
        <v>1893</v>
      </c>
      <c r="I162" s="90"/>
      <c r="J162" s="91">
        <v>0</v>
      </c>
      <c r="K162" s="91">
        <f>H162+J162</f>
        <v>1893</v>
      </c>
      <c r="L162" s="91">
        <f>VLOOKUP(K162,Tarifa1,1)</f>
        <v>244.81</v>
      </c>
      <c r="M162" s="91">
        <f>K162-L162</f>
        <v>1648.19</v>
      </c>
      <c r="N162" s="92">
        <f>VLOOKUP(K162,Tarifa1,3)</f>
        <v>6.4000000000000001E-2</v>
      </c>
      <c r="O162" s="91">
        <f>M162*N162</f>
        <v>105.48416</v>
      </c>
      <c r="P162" s="91">
        <f>VLOOKUP(K162,Tarifa1,2)</f>
        <v>4.6500000000000004</v>
      </c>
      <c r="Q162" s="91">
        <f>O162+P162</f>
        <v>110.13416000000001</v>
      </c>
      <c r="R162" s="91">
        <f>VLOOKUP(K162,Credito1,2)</f>
        <v>188.7</v>
      </c>
      <c r="S162" s="91">
        <f>Q162-R162</f>
        <v>-78.56583999999998</v>
      </c>
      <c r="T162" s="93"/>
      <c r="U162" s="94">
        <v>78.569999999999993</v>
      </c>
      <c r="V162" s="95">
        <v>0</v>
      </c>
      <c r="W162" s="96">
        <v>0</v>
      </c>
      <c r="X162" s="66">
        <f>SUM(V162:W162)</f>
        <v>0</v>
      </c>
      <c r="Y162" s="71">
        <f>H162+U162-X162</f>
        <v>1971.57</v>
      </c>
    </row>
    <row r="163" spans="1:25" s="23" customFormat="1" x14ac:dyDescent="0.25">
      <c r="A163" s="126"/>
      <c r="B163" s="57" t="s">
        <v>60</v>
      </c>
      <c r="C163" s="57"/>
      <c r="D163" s="97"/>
      <c r="E163" s="98"/>
      <c r="F163" s="99"/>
      <c r="G163" s="100"/>
      <c r="H163" s="101"/>
      <c r="I163" s="90"/>
      <c r="J163" s="102"/>
      <c r="K163" s="102"/>
      <c r="L163" s="102"/>
      <c r="M163" s="102"/>
      <c r="N163" s="103"/>
      <c r="O163" s="102"/>
      <c r="P163" s="102"/>
      <c r="Q163" s="102"/>
      <c r="R163" s="102"/>
      <c r="S163" s="102"/>
      <c r="T163" s="93"/>
      <c r="U163" s="104"/>
      <c r="V163" s="105"/>
      <c r="W163" s="106"/>
      <c r="X163" s="101"/>
      <c r="Y163" s="107"/>
    </row>
    <row r="164" spans="1:25" s="23" customFormat="1" x14ac:dyDescent="0.25">
      <c r="A164" s="127"/>
      <c r="B164" s="59" t="s">
        <v>231</v>
      </c>
      <c r="C164" s="12"/>
      <c r="D164" s="11"/>
      <c r="E164" s="60"/>
      <c r="F164" s="14"/>
      <c r="G164" s="108"/>
      <c r="H164" s="109"/>
      <c r="I164" s="90"/>
      <c r="J164" s="110"/>
      <c r="K164" s="110"/>
      <c r="L164" s="110"/>
      <c r="M164" s="110"/>
      <c r="N164" s="111"/>
      <c r="O164" s="110"/>
      <c r="P164" s="110"/>
      <c r="Q164" s="110"/>
      <c r="R164" s="110"/>
      <c r="S164" s="110"/>
      <c r="T164" s="93"/>
      <c r="U164" s="109"/>
      <c r="V164" s="112"/>
      <c r="W164" s="113"/>
      <c r="X164" s="109"/>
      <c r="Y164" s="114"/>
    </row>
    <row r="165" spans="1:25" s="23" customFormat="1" x14ac:dyDescent="0.25">
      <c r="A165" s="127">
        <v>104</v>
      </c>
      <c r="B165" s="32" t="s">
        <v>232</v>
      </c>
      <c r="C165" s="12" t="s">
        <v>233</v>
      </c>
      <c r="D165" s="11">
        <v>15</v>
      </c>
      <c r="E165" s="13">
        <f t="shared" ref="E165:E183" si="91">F165/15</f>
        <v>296.81599999999997</v>
      </c>
      <c r="F165" s="14">
        <v>4452.24</v>
      </c>
      <c r="G165" s="108">
        <v>0</v>
      </c>
      <c r="H165" s="39">
        <f>TRUNC(SUM(D165*E165)+G165,2)</f>
        <v>4452.24</v>
      </c>
      <c r="I165" s="90"/>
      <c r="J165" s="110">
        <v>0</v>
      </c>
      <c r="K165" s="110">
        <f>H165+J165</f>
        <v>4452.24</v>
      </c>
      <c r="L165" s="110">
        <f>VLOOKUP(K165,Tarifa1,1)</f>
        <v>4244.1099999999997</v>
      </c>
      <c r="M165" s="110">
        <f>K165-L165</f>
        <v>208.13000000000011</v>
      </c>
      <c r="N165" s="111">
        <f>VLOOKUP(K165,Tarifa1,3)</f>
        <v>0.1792</v>
      </c>
      <c r="O165" s="110">
        <f>M165*N165</f>
        <v>37.296896000000018</v>
      </c>
      <c r="P165" s="110">
        <f>VLOOKUP(K165,Tarifa1,2)</f>
        <v>388.05</v>
      </c>
      <c r="Q165" s="110">
        <f>O165+P165</f>
        <v>425.34689600000002</v>
      </c>
      <c r="R165" s="110">
        <f>VLOOKUP(K165,Credito1,2)</f>
        <v>0</v>
      </c>
      <c r="S165" s="110">
        <f>Q165-R165</f>
        <v>425.34689600000002</v>
      </c>
      <c r="T165" s="93"/>
      <c r="U165" s="109">
        <f>-IF(S165&gt;0,0,S165)</f>
        <v>0</v>
      </c>
      <c r="V165" s="112">
        <f>IF(S165&lt;0,0,S165)</f>
        <v>425.34689600000002</v>
      </c>
      <c r="W165" s="113">
        <v>0</v>
      </c>
      <c r="X165" s="39">
        <f>SUM(V165:W165)</f>
        <v>425.34689600000002</v>
      </c>
      <c r="Y165" s="46">
        <f>H165+U165-X165</f>
        <v>4026.8931039999998</v>
      </c>
    </row>
    <row r="166" spans="1:25" s="23" customFormat="1" x14ac:dyDescent="0.25">
      <c r="A166" s="127"/>
      <c r="B166" s="59" t="s">
        <v>152</v>
      </c>
      <c r="C166" s="12"/>
      <c r="D166" s="11"/>
      <c r="E166" s="60"/>
      <c r="F166" s="14"/>
      <c r="G166" s="30"/>
      <c r="H166" s="39"/>
      <c r="I166" s="40"/>
      <c r="J166" s="41"/>
      <c r="K166" s="41"/>
      <c r="L166" s="41"/>
      <c r="M166" s="41"/>
      <c r="N166" s="42"/>
      <c r="O166" s="41"/>
      <c r="P166" s="41"/>
      <c r="Q166" s="41"/>
      <c r="R166" s="41"/>
      <c r="S166" s="41"/>
      <c r="T166" s="43"/>
      <c r="U166" s="39"/>
      <c r="V166" s="44"/>
      <c r="W166" s="45"/>
      <c r="X166" s="39"/>
      <c r="Y166" s="46"/>
    </row>
    <row r="167" spans="1:25" s="23" customFormat="1" x14ac:dyDescent="0.25">
      <c r="A167" s="127">
        <v>105</v>
      </c>
      <c r="B167" s="32" t="s">
        <v>234</v>
      </c>
      <c r="C167" s="12" t="s">
        <v>220</v>
      </c>
      <c r="D167" s="11">
        <v>15</v>
      </c>
      <c r="E167" s="13">
        <f t="shared" si="91"/>
        <v>42.466666666666669</v>
      </c>
      <c r="F167" s="14">
        <v>637</v>
      </c>
      <c r="G167" s="30">
        <v>0</v>
      </c>
      <c r="H167" s="39">
        <f t="shared" ref="H167:H174" si="92">TRUNC(SUM(D167*E167)+G167,2)</f>
        <v>637</v>
      </c>
      <c r="I167" s="40"/>
      <c r="J167" s="41">
        <v>0</v>
      </c>
      <c r="K167" s="41">
        <f t="shared" ref="K167:K174" si="93">H167+J167</f>
        <v>637</v>
      </c>
      <c r="L167" s="41">
        <f>VLOOKUP(K167,Tarifa1,1)</f>
        <v>244.81</v>
      </c>
      <c r="M167" s="41">
        <f>K167-L167</f>
        <v>392.19</v>
      </c>
      <c r="N167" s="42">
        <f>VLOOKUP(K167,Tarifa1,3)</f>
        <v>6.4000000000000001E-2</v>
      </c>
      <c r="O167" s="41">
        <f>M167*N167</f>
        <v>25.100159999999999</v>
      </c>
      <c r="P167" s="41">
        <f>VLOOKUP(K167,Tarifa1,2)</f>
        <v>4.6500000000000004</v>
      </c>
      <c r="Q167" s="41">
        <f>O167+P167</f>
        <v>29.750160000000001</v>
      </c>
      <c r="R167" s="41">
        <f>VLOOKUP(K167,Credito1,2)</f>
        <v>200.85</v>
      </c>
      <c r="S167" s="41">
        <f>Q167-R167</f>
        <v>-171.09984</v>
      </c>
      <c r="T167" s="43"/>
      <c r="U167" s="109">
        <f>-IF(S167&gt;0,0,S167)</f>
        <v>171.09984</v>
      </c>
      <c r="V167" s="112">
        <f>IF(S167&lt;0,0,S167)</f>
        <v>0</v>
      </c>
      <c r="W167" s="45">
        <v>0</v>
      </c>
      <c r="X167" s="39">
        <f t="shared" ref="X167:X173" si="94">SUM(V167:W167)</f>
        <v>0</v>
      </c>
      <c r="Y167" s="46">
        <f t="shared" ref="Y167:Y174" si="95">H167+U167-X167</f>
        <v>808.09983999999997</v>
      </c>
    </row>
    <row r="168" spans="1:25" s="23" customFormat="1" x14ac:dyDescent="0.25">
      <c r="A168" s="127">
        <v>106</v>
      </c>
      <c r="B168" s="32" t="s">
        <v>235</v>
      </c>
      <c r="C168" s="12" t="s">
        <v>220</v>
      </c>
      <c r="D168" s="11">
        <v>15</v>
      </c>
      <c r="E168" s="13">
        <f t="shared" si="91"/>
        <v>42.466666666666669</v>
      </c>
      <c r="F168" s="14">
        <v>637</v>
      </c>
      <c r="G168" s="30">
        <v>0</v>
      </c>
      <c r="H168" s="39">
        <f t="shared" si="92"/>
        <v>637</v>
      </c>
      <c r="I168" s="40"/>
      <c r="J168" s="41">
        <v>0</v>
      </c>
      <c r="K168" s="41">
        <f t="shared" si="93"/>
        <v>637</v>
      </c>
      <c r="L168" s="41">
        <f t="shared" ref="L168:L183" si="96">VLOOKUP(K168,Tarifa1,1)</f>
        <v>244.81</v>
      </c>
      <c r="M168" s="41">
        <f t="shared" ref="M168:M183" si="97">K168-L168</f>
        <v>392.19</v>
      </c>
      <c r="N168" s="42">
        <f t="shared" ref="N168:N183" si="98">VLOOKUP(K168,Tarifa1,3)</f>
        <v>6.4000000000000001E-2</v>
      </c>
      <c r="O168" s="41">
        <f t="shared" ref="O168:O183" si="99">M168*N168</f>
        <v>25.100159999999999</v>
      </c>
      <c r="P168" s="41">
        <f t="shared" ref="P168:P183" si="100">VLOOKUP(K168,Tarifa1,2)</f>
        <v>4.6500000000000004</v>
      </c>
      <c r="Q168" s="41">
        <f t="shared" ref="Q168:Q183" si="101">O168+P168</f>
        <v>29.750160000000001</v>
      </c>
      <c r="R168" s="41">
        <f t="shared" ref="R168:R183" si="102">VLOOKUP(K168,Credito1,2)</f>
        <v>200.85</v>
      </c>
      <c r="S168" s="41">
        <f t="shared" ref="S168:S183" si="103">Q168-R168</f>
        <v>-171.09984</v>
      </c>
      <c r="T168" s="43"/>
      <c r="U168" s="109">
        <f t="shared" ref="U168:U174" si="104">-IF(S168&gt;0,0,S168)</f>
        <v>171.09984</v>
      </c>
      <c r="V168" s="112">
        <f t="shared" ref="V168:V174" si="105">IF(S168&lt;0,0,S168)</f>
        <v>0</v>
      </c>
      <c r="W168" s="45">
        <v>0</v>
      </c>
      <c r="X168" s="39">
        <f t="shared" si="94"/>
        <v>0</v>
      </c>
      <c r="Y168" s="46">
        <f t="shared" si="95"/>
        <v>808.09983999999997</v>
      </c>
    </row>
    <row r="169" spans="1:25" s="23" customFormat="1" x14ac:dyDescent="0.25">
      <c r="A169" s="127">
        <v>107</v>
      </c>
      <c r="B169" s="32" t="s">
        <v>236</v>
      </c>
      <c r="C169" s="12" t="s">
        <v>220</v>
      </c>
      <c r="D169" s="11">
        <v>15</v>
      </c>
      <c r="E169" s="13">
        <f t="shared" si="91"/>
        <v>42.466666666666669</v>
      </c>
      <c r="F169" s="14">
        <v>637</v>
      </c>
      <c r="G169" s="30">
        <v>0</v>
      </c>
      <c r="H169" s="39">
        <f t="shared" si="92"/>
        <v>637</v>
      </c>
      <c r="I169" s="40"/>
      <c r="J169" s="41">
        <v>0</v>
      </c>
      <c r="K169" s="41">
        <f t="shared" si="93"/>
        <v>637</v>
      </c>
      <c r="L169" s="41">
        <f t="shared" si="96"/>
        <v>244.81</v>
      </c>
      <c r="M169" s="41">
        <f t="shared" si="97"/>
        <v>392.19</v>
      </c>
      <c r="N169" s="42">
        <f t="shared" si="98"/>
        <v>6.4000000000000001E-2</v>
      </c>
      <c r="O169" s="41">
        <f t="shared" si="99"/>
        <v>25.100159999999999</v>
      </c>
      <c r="P169" s="41">
        <f t="shared" si="100"/>
        <v>4.6500000000000004</v>
      </c>
      <c r="Q169" s="41">
        <f t="shared" si="101"/>
        <v>29.750160000000001</v>
      </c>
      <c r="R169" s="41">
        <f t="shared" si="102"/>
        <v>200.85</v>
      </c>
      <c r="S169" s="41">
        <f t="shared" si="103"/>
        <v>-171.09984</v>
      </c>
      <c r="T169" s="43"/>
      <c r="U169" s="109">
        <f t="shared" si="104"/>
        <v>171.09984</v>
      </c>
      <c r="V169" s="112">
        <f t="shared" si="105"/>
        <v>0</v>
      </c>
      <c r="W169" s="45">
        <v>0</v>
      </c>
      <c r="X169" s="39">
        <f t="shared" si="94"/>
        <v>0</v>
      </c>
      <c r="Y169" s="46">
        <f t="shared" si="95"/>
        <v>808.09983999999997</v>
      </c>
    </row>
    <row r="170" spans="1:25" s="23" customFormat="1" x14ac:dyDescent="0.25">
      <c r="A170" s="127">
        <v>108</v>
      </c>
      <c r="B170" s="32" t="s">
        <v>237</v>
      </c>
      <c r="C170" s="12" t="s">
        <v>220</v>
      </c>
      <c r="D170" s="11">
        <v>15</v>
      </c>
      <c r="E170" s="13">
        <f t="shared" si="91"/>
        <v>42.466666666666669</v>
      </c>
      <c r="F170" s="14">
        <v>637</v>
      </c>
      <c r="G170" s="30">
        <v>0</v>
      </c>
      <c r="H170" s="39">
        <f t="shared" si="92"/>
        <v>637</v>
      </c>
      <c r="I170" s="40"/>
      <c r="J170" s="41">
        <v>0</v>
      </c>
      <c r="K170" s="41">
        <f t="shared" si="93"/>
        <v>637</v>
      </c>
      <c r="L170" s="41">
        <f t="shared" si="96"/>
        <v>244.81</v>
      </c>
      <c r="M170" s="41">
        <f t="shared" si="97"/>
        <v>392.19</v>
      </c>
      <c r="N170" s="42">
        <f t="shared" si="98"/>
        <v>6.4000000000000001E-2</v>
      </c>
      <c r="O170" s="41">
        <f t="shared" si="99"/>
        <v>25.100159999999999</v>
      </c>
      <c r="P170" s="41">
        <f t="shared" si="100"/>
        <v>4.6500000000000004</v>
      </c>
      <c r="Q170" s="41">
        <f t="shared" si="101"/>
        <v>29.750160000000001</v>
      </c>
      <c r="R170" s="41">
        <f t="shared" si="102"/>
        <v>200.85</v>
      </c>
      <c r="S170" s="41">
        <f t="shared" si="103"/>
        <v>-171.09984</v>
      </c>
      <c r="T170" s="43"/>
      <c r="U170" s="109">
        <f t="shared" si="104"/>
        <v>171.09984</v>
      </c>
      <c r="V170" s="112">
        <f t="shared" si="105"/>
        <v>0</v>
      </c>
      <c r="W170" s="45">
        <v>0</v>
      </c>
      <c r="X170" s="39">
        <f t="shared" si="94"/>
        <v>0</v>
      </c>
      <c r="Y170" s="46">
        <f t="shared" si="95"/>
        <v>808.09983999999997</v>
      </c>
    </row>
    <row r="171" spans="1:25" s="23" customFormat="1" x14ac:dyDescent="0.25">
      <c r="A171" s="127">
        <v>109</v>
      </c>
      <c r="B171" s="32" t="s">
        <v>238</v>
      </c>
      <c r="C171" s="12" t="s">
        <v>134</v>
      </c>
      <c r="D171" s="11">
        <v>15</v>
      </c>
      <c r="E171" s="13">
        <f t="shared" si="91"/>
        <v>42.466666666666669</v>
      </c>
      <c r="F171" s="14">
        <v>637</v>
      </c>
      <c r="G171" s="30">
        <v>0</v>
      </c>
      <c r="H171" s="39">
        <f t="shared" si="92"/>
        <v>637</v>
      </c>
      <c r="I171" s="40"/>
      <c r="J171" s="41">
        <v>0</v>
      </c>
      <c r="K171" s="41">
        <f t="shared" si="93"/>
        <v>637</v>
      </c>
      <c r="L171" s="41">
        <f t="shared" si="96"/>
        <v>244.81</v>
      </c>
      <c r="M171" s="41">
        <f t="shared" si="97"/>
        <v>392.19</v>
      </c>
      <c r="N171" s="42">
        <f t="shared" si="98"/>
        <v>6.4000000000000001E-2</v>
      </c>
      <c r="O171" s="41">
        <f t="shared" si="99"/>
        <v>25.100159999999999</v>
      </c>
      <c r="P171" s="41">
        <f t="shared" si="100"/>
        <v>4.6500000000000004</v>
      </c>
      <c r="Q171" s="41">
        <f t="shared" si="101"/>
        <v>29.750160000000001</v>
      </c>
      <c r="R171" s="41">
        <f t="shared" si="102"/>
        <v>200.85</v>
      </c>
      <c r="S171" s="41">
        <f t="shared" si="103"/>
        <v>-171.09984</v>
      </c>
      <c r="T171" s="43"/>
      <c r="U171" s="109">
        <f t="shared" si="104"/>
        <v>171.09984</v>
      </c>
      <c r="V171" s="112">
        <f t="shared" si="105"/>
        <v>0</v>
      </c>
      <c r="W171" s="45">
        <v>0</v>
      </c>
      <c r="X171" s="39">
        <f t="shared" si="94"/>
        <v>0</v>
      </c>
      <c r="Y171" s="46">
        <f t="shared" si="95"/>
        <v>808.09983999999997</v>
      </c>
    </row>
    <row r="172" spans="1:25" s="23" customFormat="1" x14ac:dyDescent="0.25">
      <c r="A172" s="127">
        <v>110</v>
      </c>
      <c r="B172" s="32" t="s">
        <v>239</v>
      </c>
      <c r="C172" s="12" t="s">
        <v>220</v>
      </c>
      <c r="D172" s="11">
        <v>15</v>
      </c>
      <c r="E172" s="13">
        <f t="shared" si="91"/>
        <v>42.466666666666669</v>
      </c>
      <c r="F172" s="14">
        <v>637</v>
      </c>
      <c r="G172" s="30">
        <v>0</v>
      </c>
      <c r="H172" s="39">
        <f t="shared" si="92"/>
        <v>637</v>
      </c>
      <c r="I172" s="40"/>
      <c r="J172" s="41">
        <v>0</v>
      </c>
      <c r="K172" s="41">
        <f t="shared" si="93"/>
        <v>637</v>
      </c>
      <c r="L172" s="41">
        <f t="shared" si="96"/>
        <v>244.81</v>
      </c>
      <c r="M172" s="41">
        <f t="shared" si="97"/>
        <v>392.19</v>
      </c>
      <c r="N172" s="42">
        <f t="shared" si="98"/>
        <v>6.4000000000000001E-2</v>
      </c>
      <c r="O172" s="41">
        <f t="shared" si="99"/>
        <v>25.100159999999999</v>
      </c>
      <c r="P172" s="41">
        <f t="shared" si="100"/>
        <v>4.6500000000000004</v>
      </c>
      <c r="Q172" s="41">
        <f t="shared" si="101"/>
        <v>29.750160000000001</v>
      </c>
      <c r="R172" s="41">
        <f t="shared" si="102"/>
        <v>200.85</v>
      </c>
      <c r="S172" s="41">
        <f t="shared" si="103"/>
        <v>-171.09984</v>
      </c>
      <c r="T172" s="43"/>
      <c r="U172" s="109">
        <f t="shared" si="104"/>
        <v>171.09984</v>
      </c>
      <c r="V172" s="112">
        <f t="shared" si="105"/>
        <v>0</v>
      </c>
      <c r="W172" s="45">
        <v>0</v>
      </c>
      <c r="X172" s="39">
        <f t="shared" si="94"/>
        <v>0</v>
      </c>
      <c r="Y172" s="46">
        <f t="shared" si="95"/>
        <v>808.09983999999997</v>
      </c>
    </row>
    <row r="173" spans="1:25" s="23" customFormat="1" x14ac:dyDescent="0.25">
      <c r="A173" s="127">
        <v>111</v>
      </c>
      <c r="B173" s="32" t="s">
        <v>240</v>
      </c>
      <c r="C173" s="12" t="s">
        <v>241</v>
      </c>
      <c r="D173" s="11">
        <v>15</v>
      </c>
      <c r="E173" s="13">
        <f t="shared" si="91"/>
        <v>42.466666666666669</v>
      </c>
      <c r="F173" s="14">
        <v>637</v>
      </c>
      <c r="G173" s="30">
        <v>0</v>
      </c>
      <c r="H173" s="39">
        <f t="shared" si="92"/>
        <v>637</v>
      </c>
      <c r="I173" s="40"/>
      <c r="J173" s="41">
        <v>0</v>
      </c>
      <c r="K173" s="41">
        <f t="shared" si="93"/>
        <v>637</v>
      </c>
      <c r="L173" s="41">
        <f t="shared" si="96"/>
        <v>244.81</v>
      </c>
      <c r="M173" s="41">
        <f t="shared" si="97"/>
        <v>392.19</v>
      </c>
      <c r="N173" s="42">
        <f t="shared" si="98"/>
        <v>6.4000000000000001E-2</v>
      </c>
      <c r="O173" s="41">
        <f t="shared" si="99"/>
        <v>25.100159999999999</v>
      </c>
      <c r="P173" s="41">
        <f t="shared" si="100"/>
        <v>4.6500000000000004</v>
      </c>
      <c r="Q173" s="41">
        <f t="shared" si="101"/>
        <v>29.750160000000001</v>
      </c>
      <c r="R173" s="41">
        <f t="shared" si="102"/>
        <v>200.85</v>
      </c>
      <c r="S173" s="41">
        <f t="shared" si="103"/>
        <v>-171.09984</v>
      </c>
      <c r="T173" s="43"/>
      <c r="U173" s="109">
        <f t="shared" si="104"/>
        <v>171.09984</v>
      </c>
      <c r="V173" s="112">
        <f t="shared" si="105"/>
        <v>0</v>
      </c>
      <c r="W173" s="45">
        <v>0</v>
      </c>
      <c r="X173" s="39">
        <f t="shared" si="94"/>
        <v>0</v>
      </c>
      <c r="Y173" s="46">
        <f t="shared" si="95"/>
        <v>808.09983999999997</v>
      </c>
    </row>
    <row r="174" spans="1:25" s="23" customFormat="1" x14ac:dyDescent="0.25">
      <c r="A174" s="127">
        <v>112</v>
      </c>
      <c r="B174" s="32" t="s">
        <v>242</v>
      </c>
      <c r="C174" s="12" t="s">
        <v>243</v>
      </c>
      <c r="D174" s="11">
        <v>15</v>
      </c>
      <c r="E174" s="13">
        <f t="shared" si="91"/>
        <v>45.333333333333336</v>
      </c>
      <c r="F174" s="14">
        <v>680</v>
      </c>
      <c r="G174" s="30">
        <v>0</v>
      </c>
      <c r="H174" s="39">
        <f t="shared" si="92"/>
        <v>680</v>
      </c>
      <c r="I174" s="40"/>
      <c r="J174" s="41">
        <v>0</v>
      </c>
      <c r="K174" s="41">
        <f t="shared" si="93"/>
        <v>680</v>
      </c>
      <c r="L174" s="41">
        <f t="shared" si="96"/>
        <v>244.81</v>
      </c>
      <c r="M174" s="41">
        <f t="shared" si="97"/>
        <v>435.19</v>
      </c>
      <c r="N174" s="42">
        <f t="shared" si="98"/>
        <v>6.4000000000000001E-2</v>
      </c>
      <c r="O174" s="41">
        <f t="shared" si="99"/>
        <v>27.852160000000001</v>
      </c>
      <c r="P174" s="41">
        <f t="shared" si="100"/>
        <v>4.6500000000000004</v>
      </c>
      <c r="Q174" s="41">
        <f t="shared" si="101"/>
        <v>32.502160000000003</v>
      </c>
      <c r="R174" s="41">
        <f t="shared" si="102"/>
        <v>200.85</v>
      </c>
      <c r="S174" s="41">
        <f t="shared" si="103"/>
        <v>-168.34783999999999</v>
      </c>
      <c r="T174" s="43"/>
      <c r="U174" s="109">
        <f t="shared" si="104"/>
        <v>168.34783999999999</v>
      </c>
      <c r="V174" s="112">
        <f t="shared" si="105"/>
        <v>0</v>
      </c>
      <c r="W174" s="45">
        <v>0</v>
      </c>
      <c r="X174" s="39">
        <f>SUM(V174:W174)</f>
        <v>0</v>
      </c>
      <c r="Y174" s="46">
        <f t="shared" si="95"/>
        <v>848.34784000000002</v>
      </c>
    </row>
    <row r="175" spans="1:25" s="23" customFormat="1" ht="26.25" x14ac:dyDescent="0.25">
      <c r="A175" s="127">
        <v>113</v>
      </c>
      <c r="B175" s="32" t="s">
        <v>244</v>
      </c>
      <c r="C175" s="12" t="s">
        <v>245</v>
      </c>
      <c r="D175" s="11"/>
      <c r="E175" s="13"/>
      <c r="F175" s="14">
        <v>649</v>
      </c>
      <c r="G175" s="30">
        <v>0</v>
      </c>
      <c r="H175" s="39">
        <v>649</v>
      </c>
      <c r="I175" s="40"/>
      <c r="J175" s="41">
        <v>1</v>
      </c>
      <c r="K175" s="41">
        <f>H175+J175</f>
        <v>650</v>
      </c>
      <c r="L175" s="41">
        <f>VLOOKUP(K175,Tarifa1,1)</f>
        <v>244.81</v>
      </c>
      <c r="M175" s="41">
        <f>K175-L175</f>
        <v>405.19</v>
      </c>
      <c r="N175" s="42">
        <f>VLOOKUP(K175,Tarifa1,3)</f>
        <v>6.4000000000000001E-2</v>
      </c>
      <c r="O175" s="41">
        <f>M175*N175</f>
        <v>25.93216</v>
      </c>
      <c r="P175" s="41">
        <f>VLOOKUP(K175,Tarifa1,2)</f>
        <v>4.6500000000000004</v>
      </c>
      <c r="Q175" s="41">
        <f>O175+P175</f>
        <v>30.582160000000002</v>
      </c>
      <c r="R175" s="41">
        <f>VLOOKUP(K175,Credito1,2)</f>
        <v>200.85</v>
      </c>
      <c r="S175" s="41">
        <f>Q175-R175</f>
        <v>-170.26783999999998</v>
      </c>
      <c r="T175" s="43"/>
      <c r="U175" s="109">
        <f>-IF(S175&gt;0,0,S175)</f>
        <v>170.26783999999998</v>
      </c>
      <c r="V175" s="112">
        <f>IF(S175&lt;0,0,S175)</f>
        <v>0</v>
      </c>
      <c r="W175" s="45">
        <v>0</v>
      </c>
      <c r="X175" s="39">
        <v>0</v>
      </c>
      <c r="Y175" s="46">
        <f>H175+U175-X175</f>
        <v>819.26783999999998</v>
      </c>
    </row>
    <row r="176" spans="1:25" s="23" customFormat="1" ht="30" x14ac:dyDescent="0.25">
      <c r="A176" s="127"/>
      <c r="B176" s="59" t="s">
        <v>246</v>
      </c>
      <c r="C176" s="12"/>
      <c r="D176" s="11"/>
      <c r="E176" s="60"/>
      <c r="F176" s="14"/>
      <c r="G176" s="30"/>
      <c r="H176" s="39"/>
      <c r="I176" s="40"/>
      <c r="J176" s="41"/>
      <c r="K176" s="41"/>
      <c r="L176" s="41"/>
      <c r="M176" s="41"/>
      <c r="N176" s="42"/>
      <c r="O176" s="41"/>
      <c r="P176" s="41"/>
      <c r="Q176" s="41"/>
      <c r="R176" s="41"/>
      <c r="S176" s="41"/>
      <c r="T176" s="43"/>
      <c r="U176" s="39"/>
      <c r="V176" s="44"/>
      <c r="W176" s="45"/>
      <c r="X176" s="39"/>
      <c r="Y176" s="46"/>
    </row>
    <row r="177" spans="1:25" s="23" customFormat="1" x14ac:dyDescent="0.25">
      <c r="A177" s="127">
        <v>42</v>
      </c>
      <c r="B177" s="32" t="s">
        <v>247</v>
      </c>
      <c r="C177" s="12" t="s">
        <v>248</v>
      </c>
      <c r="D177" s="11">
        <v>15</v>
      </c>
      <c r="E177" s="13">
        <f t="shared" si="91"/>
        <v>44.93333333333333</v>
      </c>
      <c r="F177" s="14">
        <v>674</v>
      </c>
      <c r="G177" s="30">
        <v>0</v>
      </c>
      <c r="H177" s="39">
        <f>TRUNC(SUM(D177*E177)+G177,2)</f>
        <v>674</v>
      </c>
      <c r="I177" s="40"/>
      <c r="J177" s="41">
        <v>0</v>
      </c>
      <c r="K177" s="41">
        <f>H177+J177</f>
        <v>674</v>
      </c>
      <c r="L177" s="41">
        <f t="shared" si="96"/>
        <v>244.81</v>
      </c>
      <c r="M177" s="41">
        <f t="shared" si="97"/>
        <v>429.19</v>
      </c>
      <c r="N177" s="42">
        <f t="shared" si="98"/>
        <v>6.4000000000000001E-2</v>
      </c>
      <c r="O177" s="41">
        <f t="shared" si="99"/>
        <v>27.468160000000001</v>
      </c>
      <c r="P177" s="41">
        <f t="shared" si="100"/>
        <v>4.6500000000000004</v>
      </c>
      <c r="Q177" s="41">
        <f t="shared" si="101"/>
        <v>32.118160000000003</v>
      </c>
      <c r="R177" s="41">
        <f t="shared" si="102"/>
        <v>200.85</v>
      </c>
      <c r="S177" s="41">
        <f t="shared" si="103"/>
        <v>-168.73183999999998</v>
      </c>
      <c r="T177" s="43"/>
      <c r="U177" s="39">
        <f>-IF(S177&gt;0,0,S177)</f>
        <v>168.73183999999998</v>
      </c>
      <c r="V177" s="44">
        <f>IF(S177&lt;0,0,S177)</f>
        <v>0</v>
      </c>
      <c r="W177" s="45">
        <v>0</v>
      </c>
      <c r="X177" s="39">
        <f>SUM(V177:W177)</f>
        <v>0</v>
      </c>
      <c r="Y177" s="46">
        <f>H177+U177-X177</f>
        <v>842.73183999999992</v>
      </c>
    </row>
    <row r="178" spans="1:25" s="23" customFormat="1" x14ac:dyDescent="0.25">
      <c r="A178" s="127">
        <v>43</v>
      </c>
      <c r="B178" s="32" t="s">
        <v>249</v>
      </c>
      <c r="C178" s="12" t="s">
        <v>70</v>
      </c>
      <c r="D178" s="11">
        <v>15</v>
      </c>
      <c r="E178" s="13">
        <f t="shared" si="91"/>
        <v>117.93333333333334</v>
      </c>
      <c r="F178" s="14">
        <v>1769</v>
      </c>
      <c r="G178" s="30">
        <v>0</v>
      </c>
      <c r="H178" s="39">
        <f>TRUNC(SUM(D178*E178)+G178,2)</f>
        <v>1769</v>
      </c>
      <c r="I178" s="40"/>
      <c r="J178" s="41">
        <v>0</v>
      </c>
      <c r="K178" s="41">
        <f>H178+J178</f>
        <v>1769</v>
      </c>
      <c r="L178" s="41">
        <f t="shared" si="96"/>
        <v>244.81</v>
      </c>
      <c r="M178" s="41">
        <f t="shared" si="97"/>
        <v>1524.19</v>
      </c>
      <c r="N178" s="42">
        <f t="shared" si="98"/>
        <v>6.4000000000000001E-2</v>
      </c>
      <c r="O178" s="41">
        <f t="shared" si="99"/>
        <v>97.54816000000001</v>
      </c>
      <c r="P178" s="41">
        <f t="shared" si="100"/>
        <v>4.6500000000000004</v>
      </c>
      <c r="Q178" s="41">
        <f t="shared" si="101"/>
        <v>102.19816000000002</v>
      </c>
      <c r="R178" s="41">
        <f t="shared" si="102"/>
        <v>188.7</v>
      </c>
      <c r="S178" s="41">
        <f t="shared" si="103"/>
        <v>-86.501839999999973</v>
      </c>
      <c r="T178" s="43"/>
      <c r="U178" s="39">
        <f>-IF(S178&gt;0,0,S178)</f>
        <v>86.501839999999973</v>
      </c>
      <c r="V178" s="44">
        <f>IF(S178&lt;0,0,S178)</f>
        <v>0</v>
      </c>
      <c r="W178" s="45">
        <v>0</v>
      </c>
      <c r="X178" s="39">
        <f>SUM(V178:W178)</f>
        <v>0</v>
      </c>
      <c r="Y178" s="46">
        <f>H178+U178-X178</f>
        <v>1855.5018399999999</v>
      </c>
    </row>
    <row r="179" spans="1:25" s="23" customFormat="1" ht="29.25" x14ac:dyDescent="0.25">
      <c r="A179" s="127">
        <v>114</v>
      </c>
      <c r="B179" s="61" t="s">
        <v>250</v>
      </c>
      <c r="C179" s="12" t="s">
        <v>251</v>
      </c>
      <c r="D179" s="11"/>
      <c r="E179" s="13"/>
      <c r="F179" s="15">
        <v>2005</v>
      </c>
      <c r="G179" s="15">
        <v>0</v>
      </c>
      <c r="H179" s="15">
        <v>2005</v>
      </c>
      <c r="I179" s="16"/>
      <c r="J179" s="17">
        <v>0</v>
      </c>
      <c r="K179" s="17">
        <f>H179</f>
        <v>2005</v>
      </c>
      <c r="L179" s="17">
        <f>VLOOKUP(K179,Tarifa1,1)</f>
        <v>244.81</v>
      </c>
      <c r="M179" s="17">
        <f>K179-L179</f>
        <v>1760.19</v>
      </c>
      <c r="N179" s="18">
        <f>VLOOKUP(K179,Tarifa1,3)</f>
        <v>6.4000000000000001E-2</v>
      </c>
      <c r="O179" s="17">
        <f>M179*N179</f>
        <v>112.65216000000001</v>
      </c>
      <c r="P179" s="17">
        <f>VLOOKUP(K179,Tarifa1,2)</f>
        <v>4.6500000000000004</v>
      </c>
      <c r="Q179" s="17">
        <f>O179+P179</f>
        <v>117.30216000000001</v>
      </c>
      <c r="R179" s="17">
        <f>VLOOKUP(K179,Credito1,2)</f>
        <v>188.7</v>
      </c>
      <c r="S179" s="17">
        <f>Q179-R179</f>
        <v>-71.397839999999974</v>
      </c>
      <c r="T179" s="19"/>
      <c r="U179" s="15">
        <f>-IF(S179&gt;0,0,S179)</f>
        <v>71.397839999999974</v>
      </c>
      <c r="V179" s="20">
        <f>IF(S179&lt;0,0,S179)</f>
        <v>0</v>
      </c>
      <c r="W179" s="21">
        <v>0</v>
      </c>
      <c r="X179" s="15">
        <f>SUM(V179:W179)</f>
        <v>0</v>
      </c>
      <c r="Y179" s="22">
        <f>H179+U179-X179</f>
        <v>2076.3978400000001</v>
      </c>
    </row>
    <row r="180" spans="1:25" s="23" customFormat="1" ht="30" x14ac:dyDescent="0.25">
      <c r="A180" s="127"/>
      <c r="B180" s="59" t="s">
        <v>252</v>
      </c>
      <c r="C180" s="12"/>
      <c r="D180" s="11"/>
      <c r="E180" s="60"/>
      <c r="F180" s="14"/>
      <c r="G180" s="30"/>
      <c r="H180" s="39"/>
      <c r="I180" s="40"/>
      <c r="J180" s="41"/>
      <c r="K180" s="41"/>
      <c r="L180" s="41"/>
      <c r="M180" s="41"/>
      <c r="N180" s="42"/>
      <c r="O180" s="41"/>
      <c r="P180" s="41"/>
      <c r="Q180" s="41"/>
      <c r="R180" s="41"/>
      <c r="S180" s="41"/>
      <c r="T180" s="43"/>
      <c r="U180" s="39"/>
      <c r="V180" s="44"/>
      <c r="W180" s="45"/>
      <c r="X180" s="39"/>
      <c r="Y180" s="46"/>
    </row>
    <row r="181" spans="1:25" s="23" customFormat="1" x14ac:dyDescent="0.25">
      <c r="A181" s="127">
        <v>115</v>
      </c>
      <c r="B181" s="32" t="s">
        <v>253</v>
      </c>
      <c r="C181" s="12" t="s">
        <v>254</v>
      </c>
      <c r="D181" s="11">
        <v>15</v>
      </c>
      <c r="E181" s="13">
        <f t="shared" si="91"/>
        <v>123.53333333333333</v>
      </c>
      <c r="F181" s="14">
        <v>1853</v>
      </c>
      <c r="G181" s="30">
        <v>0</v>
      </c>
      <c r="H181" s="39">
        <f>TRUNC(SUM(D181*E181)+G181,2)</f>
        <v>1853</v>
      </c>
      <c r="I181" s="40"/>
      <c r="J181" s="41">
        <v>0</v>
      </c>
      <c r="K181" s="41">
        <f>H181+J181</f>
        <v>1853</v>
      </c>
      <c r="L181" s="41">
        <f t="shared" si="96"/>
        <v>244.81</v>
      </c>
      <c r="M181" s="41">
        <f t="shared" si="97"/>
        <v>1608.19</v>
      </c>
      <c r="N181" s="42">
        <f t="shared" si="98"/>
        <v>6.4000000000000001E-2</v>
      </c>
      <c r="O181" s="41">
        <f t="shared" si="99"/>
        <v>102.92416</v>
      </c>
      <c r="P181" s="41">
        <f t="shared" si="100"/>
        <v>4.6500000000000004</v>
      </c>
      <c r="Q181" s="41">
        <f t="shared" si="101"/>
        <v>107.57416000000001</v>
      </c>
      <c r="R181" s="41">
        <f t="shared" si="102"/>
        <v>188.7</v>
      </c>
      <c r="S181" s="41">
        <f t="shared" si="103"/>
        <v>-81.125839999999982</v>
      </c>
      <c r="T181" s="43"/>
      <c r="U181" s="39">
        <f>-IF(S181&gt;0,0,S181)</f>
        <v>81.125839999999982</v>
      </c>
      <c r="V181" s="44">
        <f>IF(S181&lt;0,0,S181)</f>
        <v>0</v>
      </c>
      <c r="W181" s="45">
        <v>0</v>
      </c>
      <c r="X181" s="39">
        <f>SUM(V181:W181)</f>
        <v>0</v>
      </c>
      <c r="Y181" s="46">
        <f>H181+U181-X181</f>
        <v>1934.1258399999999</v>
      </c>
    </row>
    <row r="182" spans="1:25" s="23" customFormat="1" ht="29.25" x14ac:dyDescent="0.25">
      <c r="A182" s="127">
        <v>116</v>
      </c>
      <c r="B182" s="32" t="s">
        <v>255</v>
      </c>
      <c r="C182" s="12" t="s">
        <v>72</v>
      </c>
      <c r="D182" s="11"/>
      <c r="E182" s="13"/>
      <c r="F182" s="14">
        <v>1644</v>
      </c>
      <c r="G182" s="30">
        <v>0</v>
      </c>
      <c r="H182" s="39">
        <v>1644</v>
      </c>
      <c r="I182" s="40"/>
      <c r="J182" s="41">
        <v>1</v>
      </c>
      <c r="K182" s="41">
        <f>H182+J182</f>
        <v>1645</v>
      </c>
      <c r="L182" s="41">
        <f>VLOOKUP(K182,Tarifa1,1)</f>
        <v>244.81</v>
      </c>
      <c r="M182" s="41">
        <f>K182-L182</f>
        <v>1400.19</v>
      </c>
      <c r="N182" s="42">
        <f>VLOOKUP(K182,Tarifa1,3)</f>
        <v>6.4000000000000001E-2</v>
      </c>
      <c r="O182" s="41">
        <f>M182*N182</f>
        <v>89.612160000000003</v>
      </c>
      <c r="P182" s="41">
        <f>VLOOKUP(K182,Tarifa1,2)</f>
        <v>4.6500000000000004</v>
      </c>
      <c r="Q182" s="41">
        <f>O182+P182</f>
        <v>94.262160000000009</v>
      </c>
      <c r="R182" s="41">
        <f>VLOOKUP(K182,Credito1,2)</f>
        <v>200.7</v>
      </c>
      <c r="S182" s="41">
        <f>Q182-R182</f>
        <v>-106.43783999999998</v>
      </c>
      <c r="T182" s="43"/>
      <c r="U182" s="39">
        <f>-IF(S182&gt;0,0,S182)</f>
        <v>106.43783999999998</v>
      </c>
      <c r="V182" s="44">
        <f>IF(S182&lt;0,0,S182)</f>
        <v>0</v>
      </c>
      <c r="W182" s="45">
        <v>0</v>
      </c>
      <c r="X182" s="39">
        <f>SUM(V182:W182)</f>
        <v>0</v>
      </c>
      <c r="Y182" s="46">
        <f>H182+U182-X182</f>
        <v>1750.4378400000001</v>
      </c>
    </row>
    <row r="183" spans="1:25" s="23" customFormat="1" ht="26.25" x14ac:dyDescent="0.25">
      <c r="A183" s="127">
        <v>117</v>
      </c>
      <c r="B183" s="32" t="s">
        <v>256</v>
      </c>
      <c r="C183" s="12" t="s">
        <v>257</v>
      </c>
      <c r="D183" s="11">
        <v>15</v>
      </c>
      <c r="E183" s="13">
        <f t="shared" si="91"/>
        <v>139.19999999999999</v>
      </c>
      <c r="F183" s="14">
        <v>2088</v>
      </c>
      <c r="G183" s="30">
        <v>0</v>
      </c>
      <c r="H183" s="39">
        <f>TRUNC(SUM(D183*E183)+G183,2)</f>
        <v>2088</v>
      </c>
      <c r="I183" s="40"/>
      <c r="J183" s="41">
        <v>0</v>
      </c>
      <c r="K183" s="41">
        <f>H183+J183</f>
        <v>2088</v>
      </c>
      <c r="L183" s="41">
        <f t="shared" si="96"/>
        <v>2077.5100000000002</v>
      </c>
      <c r="M183" s="41">
        <f t="shared" si="97"/>
        <v>10.489999999999782</v>
      </c>
      <c r="N183" s="42">
        <f t="shared" si="98"/>
        <v>0.10879999999999999</v>
      </c>
      <c r="O183" s="41">
        <f t="shared" si="99"/>
        <v>1.1413119999999761</v>
      </c>
      <c r="P183" s="41">
        <f t="shared" si="100"/>
        <v>121.95</v>
      </c>
      <c r="Q183" s="41">
        <f t="shared" si="101"/>
        <v>123.09131199999997</v>
      </c>
      <c r="R183" s="41">
        <f t="shared" si="102"/>
        <v>188.7</v>
      </c>
      <c r="S183" s="41">
        <f t="shared" si="103"/>
        <v>-65.608688000000015</v>
      </c>
      <c r="T183" s="43"/>
      <c r="U183" s="39">
        <f>-IF(S183&gt;0,0,S183)</f>
        <v>65.608688000000015</v>
      </c>
      <c r="V183" s="44">
        <f>IF(S183&lt;0,0,S183)</f>
        <v>0</v>
      </c>
      <c r="W183" s="45">
        <v>0</v>
      </c>
      <c r="X183" s="39">
        <f>SUM(V183:W183)</f>
        <v>0</v>
      </c>
      <c r="Y183" s="46">
        <f>H183+U183-X183</f>
        <v>2153.6086879999998</v>
      </c>
    </row>
    <row r="184" spans="1:25" s="23" customFormat="1" x14ac:dyDescent="0.25">
      <c r="A184" s="129"/>
      <c r="B184" s="34" t="s">
        <v>258</v>
      </c>
      <c r="C184" s="34"/>
      <c r="D184" s="35"/>
      <c r="E184" s="35"/>
      <c r="F184" s="35"/>
      <c r="G184" s="35"/>
      <c r="H184" s="35"/>
      <c r="I184" s="36"/>
      <c r="J184" s="35"/>
      <c r="K184" s="35"/>
      <c r="L184" s="35"/>
      <c r="M184" s="35"/>
      <c r="N184" s="35"/>
      <c r="O184" s="35"/>
      <c r="P184" s="35"/>
      <c r="Q184" s="35"/>
      <c r="R184" s="35"/>
      <c r="S184" s="36"/>
      <c r="T184" s="36"/>
      <c r="U184" s="35"/>
      <c r="V184" s="35"/>
      <c r="W184" s="35"/>
      <c r="X184" s="35"/>
      <c r="Y184" s="35"/>
    </row>
    <row r="185" spans="1:25" s="23" customFormat="1" x14ac:dyDescent="0.25">
      <c r="A185" s="123"/>
      <c r="B185" s="25"/>
      <c r="C185" s="25"/>
      <c r="D185" s="24"/>
      <c r="E185" s="24"/>
      <c r="F185" s="24"/>
      <c r="G185" s="24"/>
      <c r="H185" s="24"/>
      <c r="I185" s="26"/>
      <c r="J185" s="24"/>
      <c r="K185" s="24"/>
      <c r="L185" s="24"/>
      <c r="M185" s="24"/>
      <c r="N185" s="24"/>
      <c r="O185" s="24"/>
      <c r="P185" s="24"/>
      <c r="Q185" s="24"/>
      <c r="R185" s="24"/>
      <c r="S185" s="26"/>
      <c r="T185" s="26"/>
      <c r="U185" s="24"/>
      <c r="V185" s="24"/>
      <c r="W185" s="24"/>
      <c r="X185" s="24"/>
      <c r="Y185" s="24"/>
    </row>
    <row r="186" spans="1:25" s="23" customFormat="1" x14ac:dyDescent="0.25">
      <c r="A186" s="121">
        <v>118</v>
      </c>
      <c r="B186" s="115" t="s">
        <v>258</v>
      </c>
      <c r="C186" s="12"/>
      <c r="D186" s="11"/>
      <c r="E186" s="13"/>
      <c r="F186" s="15"/>
      <c r="G186" s="15"/>
      <c r="H186" s="15"/>
      <c r="I186" s="16"/>
      <c r="J186" s="17"/>
      <c r="K186" s="17"/>
      <c r="L186" s="17"/>
      <c r="M186" s="17"/>
      <c r="N186" s="18"/>
      <c r="O186" s="17"/>
      <c r="P186" s="17"/>
      <c r="Q186" s="17"/>
      <c r="R186" s="17"/>
      <c r="S186" s="17"/>
      <c r="T186" s="19"/>
      <c r="U186" s="15"/>
      <c r="V186" s="20"/>
      <c r="W186" s="21"/>
      <c r="X186" s="15"/>
      <c r="Y186" s="22"/>
    </row>
    <row r="187" spans="1:25" s="23" customFormat="1" x14ac:dyDescent="0.25">
      <c r="A187" s="121">
        <v>119</v>
      </c>
      <c r="B187" s="115" t="s">
        <v>258</v>
      </c>
      <c r="C187" s="12"/>
      <c r="D187" s="11"/>
      <c r="E187" s="13"/>
      <c r="F187" s="15"/>
      <c r="G187" s="15"/>
      <c r="H187" s="15"/>
      <c r="I187" s="16"/>
      <c r="J187" s="17"/>
      <c r="K187" s="17"/>
      <c r="L187" s="17"/>
      <c r="M187" s="17"/>
      <c r="N187" s="18"/>
      <c r="O187" s="17"/>
      <c r="P187" s="17"/>
      <c r="Q187" s="17"/>
      <c r="R187" s="17"/>
      <c r="S187" s="17"/>
      <c r="T187" s="19"/>
      <c r="U187" s="15"/>
      <c r="V187" s="20"/>
      <c r="W187" s="21"/>
      <c r="X187" s="15"/>
      <c r="Y187" s="22"/>
    </row>
    <row r="188" spans="1:25" s="23" customFormat="1" x14ac:dyDescent="0.25">
      <c r="A188" s="121">
        <v>120</v>
      </c>
      <c r="B188" s="115" t="s">
        <v>258</v>
      </c>
      <c r="C188" s="12"/>
      <c r="D188" s="11"/>
      <c r="E188" s="13"/>
      <c r="F188" s="15"/>
      <c r="G188" s="15"/>
      <c r="H188" s="15"/>
      <c r="I188" s="16"/>
      <c r="J188" s="17"/>
      <c r="K188" s="17"/>
      <c r="L188" s="17"/>
      <c r="M188" s="17"/>
      <c r="N188" s="18"/>
      <c r="O188" s="17"/>
      <c r="P188" s="17"/>
      <c r="Q188" s="17"/>
      <c r="R188" s="17"/>
      <c r="S188" s="17"/>
      <c r="T188" s="19"/>
      <c r="U188" s="15"/>
      <c r="V188" s="20"/>
      <c r="W188" s="21"/>
      <c r="X188" s="15"/>
      <c r="Y188" s="22"/>
    </row>
    <row r="189" spans="1:25" s="23" customFormat="1" x14ac:dyDescent="0.25">
      <c r="A189" s="121">
        <v>121</v>
      </c>
      <c r="B189" s="115" t="s">
        <v>258</v>
      </c>
      <c r="C189" s="12"/>
      <c r="D189" s="11"/>
      <c r="E189" s="13"/>
      <c r="F189" s="15"/>
      <c r="G189" s="15"/>
      <c r="H189" s="15"/>
      <c r="I189" s="16"/>
      <c r="J189" s="17"/>
      <c r="K189" s="17"/>
      <c r="L189" s="17"/>
      <c r="M189" s="17"/>
      <c r="N189" s="18"/>
      <c r="O189" s="17"/>
      <c r="P189" s="17"/>
      <c r="Q189" s="17"/>
      <c r="R189" s="17"/>
      <c r="S189" s="17"/>
      <c r="T189" s="19"/>
      <c r="U189" s="15"/>
      <c r="V189" s="20"/>
      <c r="W189" s="21"/>
      <c r="X189" s="15"/>
      <c r="Y189" s="22"/>
    </row>
    <row r="190" spans="1:25" s="23" customFormat="1" x14ac:dyDescent="0.25">
      <c r="A190" s="121">
        <v>122</v>
      </c>
      <c r="B190" s="115" t="s">
        <v>258</v>
      </c>
      <c r="C190" s="12"/>
      <c r="D190" s="11"/>
      <c r="E190" s="13"/>
      <c r="F190" s="15"/>
      <c r="G190" s="15"/>
      <c r="H190" s="15"/>
      <c r="I190" s="16"/>
      <c r="J190" s="17"/>
      <c r="K190" s="17"/>
      <c r="L190" s="17"/>
      <c r="M190" s="17"/>
      <c r="N190" s="18"/>
      <c r="O190" s="17"/>
      <c r="P190" s="17"/>
      <c r="Q190" s="17"/>
      <c r="R190" s="17"/>
      <c r="S190" s="17"/>
      <c r="T190" s="19"/>
      <c r="U190" s="15"/>
      <c r="V190" s="20"/>
      <c r="W190" s="21"/>
      <c r="X190" s="15"/>
      <c r="Y190" s="22"/>
    </row>
    <row r="191" spans="1:25" s="23" customFormat="1" x14ac:dyDescent="0.25">
      <c r="A191" s="121">
        <v>123</v>
      </c>
      <c r="B191" s="115" t="s">
        <v>258</v>
      </c>
      <c r="C191" s="116"/>
      <c r="D191" s="11"/>
      <c r="E191" s="13"/>
      <c r="F191" s="15"/>
      <c r="G191" s="15"/>
      <c r="H191" s="15"/>
      <c r="I191" s="16"/>
      <c r="J191" s="17"/>
      <c r="K191" s="17"/>
      <c r="L191" s="17"/>
      <c r="M191" s="17"/>
      <c r="N191" s="18"/>
      <c r="O191" s="17"/>
      <c r="P191" s="17"/>
      <c r="Q191" s="17"/>
      <c r="R191" s="17"/>
      <c r="S191" s="17"/>
      <c r="T191" s="19"/>
      <c r="U191" s="15"/>
      <c r="V191" s="20"/>
      <c r="W191" s="21"/>
      <c r="X191" s="15"/>
      <c r="Y191" s="22"/>
    </row>
    <row r="192" spans="1:25" s="23" customFormat="1" x14ac:dyDescent="0.25">
      <c r="A192" s="121">
        <v>124</v>
      </c>
      <c r="B192" s="115" t="s">
        <v>258</v>
      </c>
      <c r="C192" s="12"/>
      <c r="D192" s="11"/>
      <c r="E192" s="13"/>
      <c r="F192" s="15"/>
      <c r="G192" s="15"/>
      <c r="H192" s="15"/>
      <c r="I192" s="16"/>
      <c r="J192" s="17"/>
      <c r="K192" s="17"/>
      <c r="L192" s="17"/>
      <c r="M192" s="17"/>
      <c r="N192" s="18"/>
      <c r="O192" s="17"/>
      <c r="P192" s="17"/>
      <c r="Q192" s="17"/>
      <c r="R192" s="17"/>
      <c r="S192" s="17"/>
      <c r="T192" s="19"/>
      <c r="U192" s="15"/>
      <c r="V192" s="20"/>
      <c r="W192" s="21"/>
      <c r="X192" s="15"/>
      <c r="Y192" s="22"/>
    </row>
    <row r="193" spans="1:25" s="23" customFormat="1" x14ac:dyDescent="0.25">
      <c r="A193" s="121">
        <v>125</v>
      </c>
      <c r="B193" s="115" t="s">
        <v>258</v>
      </c>
      <c r="C193" s="12"/>
      <c r="D193" s="11"/>
      <c r="E193" s="13"/>
      <c r="F193" s="15"/>
      <c r="G193" s="15"/>
      <c r="H193" s="15"/>
      <c r="I193" s="16"/>
      <c r="J193" s="17"/>
      <c r="K193" s="17"/>
      <c r="L193" s="17"/>
      <c r="M193" s="17"/>
      <c r="N193" s="18"/>
      <c r="O193" s="17"/>
      <c r="P193" s="17"/>
      <c r="Q193" s="17"/>
      <c r="R193" s="17"/>
      <c r="S193" s="17"/>
      <c r="T193" s="19"/>
      <c r="U193" s="15"/>
      <c r="V193" s="20"/>
      <c r="W193" s="21"/>
      <c r="X193" s="15"/>
      <c r="Y193" s="22"/>
    </row>
    <row r="194" spans="1:25" s="23" customFormat="1" x14ac:dyDescent="0.25">
      <c r="A194" s="121">
        <v>126</v>
      </c>
      <c r="B194" s="115" t="s">
        <v>258</v>
      </c>
      <c r="C194" s="12"/>
      <c r="D194" s="11"/>
      <c r="E194" s="13"/>
      <c r="F194" s="15"/>
      <c r="G194" s="15"/>
      <c r="H194" s="15"/>
      <c r="I194" s="16"/>
      <c r="J194" s="17"/>
      <c r="K194" s="17"/>
      <c r="L194" s="17"/>
      <c r="M194" s="17"/>
      <c r="N194" s="18"/>
      <c r="O194" s="17"/>
      <c r="P194" s="17"/>
      <c r="Q194" s="17"/>
      <c r="R194" s="17"/>
      <c r="S194" s="17"/>
      <c r="T194" s="19"/>
      <c r="U194" s="15"/>
      <c r="V194" s="20"/>
      <c r="W194" s="21"/>
      <c r="X194" s="15"/>
      <c r="Y194" s="22"/>
    </row>
    <row r="195" spans="1:25" s="23" customFormat="1" x14ac:dyDescent="0.25">
      <c r="A195" s="121">
        <v>127</v>
      </c>
      <c r="B195" s="115" t="s">
        <v>258</v>
      </c>
      <c r="C195" s="12"/>
      <c r="D195" s="11"/>
      <c r="E195" s="13"/>
      <c r="F195" s="15"/>
      <c r="G195" s="15"/>
      <c r="H195" s="15"/>
      <c r="I195" s="16"/>
      <c r="J195" s="17"/>
      <c r="K195" s="17"/>
      <c r="L195" s="17"/>
      <c r="M195" s="17"/>
      <c r="N195" s="18"/>
      <c r="O195" s="17"/>
      <c r="P195" s="17"/>
      <c r="Q195" s="17"/>
      <c r="R195" s="17"/>
      <c r="S195" s="17"/>
      <c r="T195" s="19"/>
      <c r="U195" s="15"/>
      <c r="V195" s="20"/>
      <c r="W195" s="21"/>
      <c r="X195" s="15"/>
      <c r="Y195" s="22"/>
    </row>
    <row r="196" spans="1:25" s="23" customFormat="1" x14ac:dyDescent="0.25">
      <c r="A196" s="121">
        <v>128</v>
      </c>
      <c r="B196" s="115" t="s">
        <v>258</v>
      </c>
      <c r="C196" s="12"/>
      <c r="D196" s="11"/>
      <c r="E196" s="13"/>
      <c r="F196" s="15"/>
      <c r="G196" s="15"/>
      <c r="H196" s="15"/>
      <c r="I196" s="16"/>
      <c r="J196" s="17"/>
      <c r="K196" s="17"/>
      <c r="L196" s="17"/>
      <c r="M196" s="17"/>
      <c r="N196" s="18"/>
      <c r="O196" s="17"/>
      <c r="P196" s="17"/>
      <c r="Q196" s="17"/>
      <c r="R196" s="17"/>
      <c r="S196" s="17"/>
      <c r="T196" s="19"/>
      <c r="U196" s="15"/>
      <c r="V196" s="20"/>
      <c r="W196" s="21"/>
      <c r="X196" s="15"/>
      <c r="Y196" s="22"/>
    </row>
    <row r="197" spans="1:25" s="23" customFormat="1" x14ac:dyDescent="0.25">
      <c r="A197" s="121">
        <v>129</v>
      </c>
      <c r="B197" s="115" t="s">
        <v>258</v>
      </c>
      <c r="C197" s="12"/>
      <c r="D197" s="11"/>
      <c r="E197" s="13"/>
      <c r="F197" s="15"/>
      <c r="G197" s="15"/>
      <c r="H197" s="15"/>
      <c r="I197" s="16"/>
      <c r="J197" s="17"/>
      <c r="K197" s="17"/>
      <c r="L197" s="17"/>
      <c r="M197" s="17"/>
      <c r="N197" s="18"/>
      <c r="O197" s="17"/>
      <c r="P197" s="17"/>
      <c r="Q197" s="17"/>
      <c r="R197" s="17"/>
      <c r="S197" s="17"/>
      <c r="T197" s="19"/>
      <c r="U197" s="15"/>
      <c r="V197" s="20"/>
      <c r="W197" s="21"/>
      <c r="X197" s="15"/>
      <c r="Y197" s="22"/>
    </row>
    <row r="198" spans="1:25" s="23" customFormat="1" x14ac:dyDescent="0.25">
      <c r="A198" s="121">
        <v>130</v>
      </c>
      <c r="B198" s="115" t="s">
        <v>258</v>
      </c>
      <c r="C198" s="12"/>
      <c r="D198" s="11"/>
      <c r="E198" s="13"/>
      <c r="F198" s="15"/>
      <c r="G198" s="15"/>
      <c r="H198" s="15"/>
      <c r="I198" s="16"/>
      <c r="J198" s="17"/>
      <c r="K198" s="17"/>
      <c r="L198" s="17"/>
      <c r="M198" s="17"/>
      <c r="N198" s="18"/>
      <c r="O198" s="17"/>
      <c r="P198" s="17"/>
      <c r="Q198" s="17"/>
      <c r="R198" s="17"/>
      <c r="S198" s="17"/>
      <c r="T198" s="19"/>
      <c r="U198" s="15"/>
      <c r="V198" s="20"/>
      <c r="W198" s="21"/>
      <c r="X198" s="15"/>
      <c r="Y198" s="22"/>
    </row>
    <row r="199" spans="1:25" s="23" customFormat="1" x14ac:dyDescent="0.25">
      <c r="A199" s="121">
        <v>131</v>
      </c>
      <c r="B199" s="115" t="s">
        <v>258</v>
      </c>
      <c r="C199" s="12"/>
      <c r="D199" s="11"/>
      <c r="E199" s="13"/>
      <c r="F199" s="15"/>
      <c r="G199" s="15"/>
      <c r="H199" s="15"/>
      <c r="I199" s="16"/>
      <c r="J199" s="17"/>
      <c r="K199" s="17"/>
      <c r="L199" s="17"/>
      <c r="M199" s="17"/>
      <c r="N199" s="18"/>
      <c r="O199" s="17"/>
      <c r="P199" s="17"/>
      <c r="Q199" s="17"/>
      <c r="R199" s="17"/>
      <c r="S199" s="17"/>
      <c r="T199" s="19"/>
      <c r="U199" s="15"/>
      <c r="V199" s="20"/>
      <c r="W199" s="21"/>
      <c r="X199" s="15"/>
      <c r="Y199" s="22"/>
    </row>
    <row r="200" spans="1:25" s="23" customFormat="1" x14ac:dyDescent="0.25">
      <c r="A200" s="121">
        <v>132</v>
      </c>
      <c r="B200" s="115" t="s">
        <v>258</v>
      </c>
      <c r="C200" s="12"/>
      <c r="D200" s="11"/>
      <c r="E200" s="13"/>
      <c r="F200" s="15"/>
      <c r="G200" s="15"/>
      <c r="H200" s="15"/>
      <c r="I200" s="16"/>
      <c r="J200" s="17"/>
      <c r="K200" s="17"/>
      <c r="L200" s="17"/>
      <c r="M200" s="17"/>
      <c r="N200" s="18"/>
      <c r="O200" s="17"/>
      <c r="P200" s="17"/>
      <c r="Q200" s="17"/>
      <c r="R200" s="17"/>
      <c r="S200" s="17"/>
      <c r="T200" s="19"/>
      <c r="U200" s="15"/>
      <c r="V200" s="20"/>
      <c r="W200" s="21"/>
      <c r="X200" s="15"/>
      <c r="Y200" s="22"/>
    </row>
    <row r="201" spans="1:25" s="23" customFormat="1" x14ac:dyDescent="0.25">
      <c r="A201" s="121">
        <v>133</v>
      </c>
      <c r="B201" s="115" t="s">
        <v>258</v>
      </c>
      <c r="C201" s="12"/>
      <c r="D201" s="11"/>
      <c r="E201" s="13"/>
      <c r="F201" s="15"/>
      <c r="G201" s="15"/>
      <c r="H201" s="15"/>
      <c r="I201" s="16"/>
      <c r="J201" s="17"/>
      <c r="K201" s="17"/>
      <c r="L201" s="17"/>
      <c r="M201" s="17"/>
      <c r="N201" s="18"/>
      <c r="O201" s="17"/>
      <c r="P201" s="17"/>
      <c r="Q201" s="17"/>
      <c r="R201" s="17"/>
      <c r="S201" s="17"/>
      <c r="T201" s="19"/>
      <c r="U201" s="15"/>
      <c r="V201" s="20"/>
      <c r="W201" s="21"/>
      <c r="X201" s="15"/>
      <c r="Y201" s="22"/>
    </row>
    <row r="202" spans="1:25" s="23" customFormat="1" x14ac:dyDescent="0.25">
      <c r="A202" s="121">
        <v>134</v>
      </c>
      <c r="B202" s="115" t="s">
        <v>258</v>
      </c>
      <c r="C202" s="116"/>
      <c r="D202" s="11"/>
      <c r="E202" s="13"/>
      <c r="F202" s="15"/>
      <c r="G202" s="15"/>
      <c r="H202" s="15"/>
      <c r="I202" s="16"/>
      <c r="J202" s="17"/>
      <c r="K202" s="17"/>
      <c r="L202" s="17"/>
      <c r="M202" s="17"/>
      <c r="N202" s="18"/>
      <c r="O202" s="17"/>
      <c r="P202" s="17"/>
      <c r="Q202" s="17"/>
      <c r="R202" s="17"/>
      <c r="S202" s="17"/>
      <c r="T202" s="19"/>
      <c r="U202" s="15"/>
      <c r="V202" s="20"/>
      <c r="W202" s="21"/>
      <c r="X202" s="15"/>
      <c r="Y202" s="22"/>
    </row>
    <row r="203" spans="1:25" s="23" customFormat="1" x14ac:dyDescent="0.25">
      <c r="A203" s="121">
        <v>135</v>
      </c>
      <c r="B203" s="115" t="s">
        <v>258</v>
      </c>
      <c r="C203" s="116"/>
      <c r="D203" s="11"/>
      <c r="E203" s="13"/>
      <c r="F203" s="15"/>
      <c r="G203" s="15"/>
      <c r="H203" s="15"/>
      <c r="I203" s="16"/>
      <c r="J203" s="17"/>
      <c r="K203" s="17"/>
      <c r="L203" s="17"/>
      <c r="M203" s="17"/>
      <c r="N203" s="18"/>
      <c r="O203" s="17"/>
      <c r="P203" s="17"/>
      <c r="Q203" s="17"/>
      <c r="R203" s="17"/>
      <c r="S203" s="17"/>
      <c r="T203" s="19"/>
      <c r="U203" s="15"/>
      <c r="V203" s="20"/>
      <c r="W203" s="21"/>
      <c r="X203" s="15"/>
      <c r="Y203" s="22"/>
    </row>
    <row r="204" spans="1:25" s="23" customFormat="1" x14ac:dyDescent="0.25">
      <c r="A204" s="121">
        <v>136</v>
      </c>
      <c r="B204" s="115" t="s">
        <v>258</v>
      </c>
      <c r="C204" s="116"/>
      <c r="D204" s="11"/>
      <c r="E204" s="13"/>
      <c r="F204" s="15"/>
      <c r="G204" s="15"/>
      <c r="H204" s="15"/>
      <c r="I204" s="16"/>
      <c r="J204" s="17"/>
      <c r="K204" s="17"/>
      <c r="L204" s="17"/>
      <c r="M204" s="17"/>
      <c r="N204" s="18"/>
      <c r="O204" s="17"/>
      <c r="P204" s="17"/>
      <c r="Q204" s="17"/>
      <c r="R204" s="17"/>
      <c r="S204" s="17"/>
      <c r="T204" s="19"/>
      <c r="U204" s="15"/>
      <c r="V204" s="20"/>
      <c r="W204" s="21"/>
      <c r="X204" s="15"/>
      <c r="Y204" s="22"/>
    </row>
    <row r="205" spans="1:25" s="23" customFormat="1" x14ac:dyDescent="0.25">
      <c r="A205" s="121">
        <v>137</v>
      </c>
      <c r="B205" s="115" t="s">
        <v>258</v>
      </c>
      <c r="C205" s="116"/>
      <c r="D205" s="11"/>
      <c r="E205" s="13"/>
      <c r="F205" s="15"/>
      <c r="G205" s="15"/>
      <c r="H205" s="15"/>
      <c r="I205" s="16"/>
      <c r="J205" s="17"/>
      <c r="K205" s="17"/>
      <c r="L205" s="17"/>
      <c r="M205" s="17"/>
      <c r="N205" s="18"/>
      <c r="O205" s="17"/>
      <c r="P205" s="17"/>
      <c r="Q205" s="17"/>
      <c r="R205" s="17"/>
      <c r="S205" s="17"/>
      <c r="T205" s="19"/>
      <c r="U205" s="15"/>
      <c r="V205" s="20"/>
      <c r="W205" s="21"/>
      <c r="X205" s="15"/>
      <c r="Y205" s="22"/>
    </row>
    <row r="206" spans="1:25" s="23" customFormat="1" x14ac:dyDescent="0.25">
      <c r="A206" s="121">
        <v>138</v>
      </c>
      <c r="B206" s="115" t="s">
        <v>258</v>
      </c>
      <c r="C206" s="116"/>
      <c r="D206" s="11"/>
      <c r="E206" s="13"/>
      <c r="F206" s="15"/>
      <c r="G206" s="15"/>
      <c r="H206" s="15"/>
      <c r="I206" s="16"/>
      <c r="J206" s="17"/>
      <c r="K206" s="17"/>
      <c r="L206" s="17"/>
      <c r="M206" s="17"/>
      <c r="N206" s="18"/>
      <c r="O206" s="17"/>
      <c r="P206" s="17"/>
      <c r="Q206" s="17"/>
      <c r="R206" s="17"/>
      <c r="S206" s="17"/>
      <c r="T206" s="19"/>
      <c r="U206" s="15"/>
      <c r="V206" s="20"/>
      <c r="W206" s="21"/>
      <c r="X206" s="15"/>
      <c r="Y206" s="22"/>
    </row>
    <row r="207" spans="1:25" s="23" customFormat="1" x14ac:dyDescent="0.25">
      <c r="A207" s="121">
        <v>139</v>
      </c>
      <c r="B207" s="115" t="s">
        <v>258</v>
      </c>
      <c r="C207" s="116"/>
      <c r="D207" s="11"/>
      <c r="E207" s="13"/>
      <c r="F207" s="15"/>
      <c r="G207" s="15"/>
      <c r="H207" s="15"/>
      <c r="I207" s="16"/>
      <c r="J207" s="17"/>
      <c r="K207" s="17"/>
      <c r="L207" s="17"/>
      <c r="M207" s="17"/>
      <c r="N207" s="18"/>
      <c r="O207" s="17"/>
      <c r="P207" s="17"/>
      <c r="Q207" s="17"/>
      <c r="R207" s="17"/>
      <c r="S207" s="17"/>
      <c r="T207" s="19"/>
      <c r="U207" s="15"/>
      <c r="V207" s="20"/>
      <c r="W207" s="21"/>
      <c r="X207" s="15"/>
      <c r="Y207" s="22"/>
    </row>
    <row r="208" spans="1:25" s="23" customFormat="1" x14ac:dyDescent="0.25">
      <c r="A208" s="121">
        <v>140</v>
      </c>
      <c r="B208" s="115" t="s">
        <v>258</v>
      </c>
      <c r="C208" s="116"/>
      <c r="D208" s="11"/>
      <c r="E208" s="13"/>
      <c r="F208" s="15"/>
      <c r="G208" s="15"/>
      <c r="H208" s="15"/>
      <c r="I208" s="16"/>
      <c r="J208" s="17"/>
      <c r="K208" s="17"/>
      <c r="L208" s="17"/>
      <c r="M208" s="17"/>
      <c r="N208" s="18"/>
      <c r="O208" s="17"/>
      <c r="P208" s="17"/>
      <c r="Q208" s="17"/>
      <c r="R208" s="17"/>
      <c r="S208" s="17"/>
      <c r="T208" s="19"/>
      <c r="U208" s="15"/>
      <c r="V208" s="20"/>
      <c r="W208" s="21"/>
      <c r="X208" s="15"/>
      <c r="Y208" s="22"/>
    </row>
    <row r="209" spans="1:25" s="23" customFormat="1" x14ac:dyDescent="0.25">
      <c r="A209" s="121">
        <v>141</v>
      </c>
      <c r="B209" s="115" t="s">
        <v>258</v>
      </c>
      <c r="C209" s="116"/>
      <c r="D209" s="11"/>
      <c r="E209" s="13"/>
      <c r="F209" s="15"/>
      <c r="G209" s="15"/>
      <c r="H209" s="15"/>
      <c r="I209" s="16"/>
      <c r="J209" s="17"/>
      <c r="K209" s="17"/>
      <c r="L209" s="17"/>
      <c r="M209" s="17"/>
      <c r="N209" s="18"/>
      <c r="O209" s="17"/>
      <c r="P209" s="17"/>
      <c r="Q209" s="17"/>
      <c r="R209" s="17"/>
      <c r="S209" s="17"/>
      <c r="T209" s="19"/>
      <c r="U209" s="15"/>
      <c r="V209" s="20"/>
      <c r="W209" s="21"/>
      <c r="X209" s="15"/>
      <c r="Y209" s="22"/>
    </row>
    <row r="210" spans="1:25" s="23" customFormat="1" x14ac:dyDescent="0.25">
      <c r="A210" s="121">
        <v>142</v>
      </c>
      <c r="B210" s="115" t="s">
        <v>258</v>
      </c>
      <c r="C210" s="116"/>
      <c r="D210" s="11"/>
      <c r="E210" s="13"/>
      <c r="F210" s="15"/>
      <c r="G210" s="15"/>
      <c r="H210" s="15"/>
      <c r="I210" s="16"/>
      <c r="J210" s="17"/>
      <c r="K210" s="17"/>
      <c r="L210" s="17"/>
      <c r="M210" s="17"/>
      <c r="N210" s="18"/>
      <c r="O210" s="17"/>
      <c r="P210" s="17"/>
      <c r="Q210" s="17"/>
      <c r="R210" s="17"/>
      <c r="S210" s="17"/>
      <c r="T210" s="19"/>
      <c r="U210" s="15"/>
      <c r="V210" s="20"/>
      <c r="W210" s="21"/>
      <c r="X210" s="15"/>
      <c r="Y210" s="22"/>
    </row>
    <row r="211" spans="1:25" s="23" customFormat="1" x14ac:dyDescent="0.25">
      <c r="A211" s="129"/>
      <c r="B211" s="34" t="s">
        <v>259</v>
      </c>
      <c r="C211" s="34"/>
      <c r="D211" s="35"/>
      <c r="E211" s="35"/>
      <c r="F211" s="35"/>
      <c r="G211" s="35"/>
      <c r="H211" s="35"/>
      <c r="I211" s="36"/>
      <c r="J211" s="35"/>
      <c r="K211" s="35"/>
      <c r="L211" s="35"/>
      <c r="M211" s="35"/>
      <c r="N211" s="35"/>
      <c r="O211" s="35"/>
      <c r="P211" s="35"/>
      <c r="Q211" s="35"/>
      <c r="R211" s="35"/>
      <c r="S211" s="36"/>
      <c r="T211" s="36"/>
      <c r="U211" s="35"/>
      <c r="V211" s="35"/>
      <c r="W211" s="35"/>
      <c r="X211" s="35"/>
      <c r="Y211" s="35"/>
    </row>
    <row r="212" spans="1:25" s="23" customFormat="1" x14ac:dyDescent="0.25">
      <c r="A212" s="130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7"/>
      <c r="P212" s="117"/>
      <c r="Q212" s="117"/>
      <c r="R212" s="117"/>
      <c r="S212" s="117"/>
      <c r="T212" s="117"/>
      <c r="U212" s="117"/>
      <c r="V212" s="117"/>
      <c r="W212" s="117"/>
      <c r="X212" s="117"/>
      <c r="Y212" s="117"/>
    </row>
    <row r="213" spans="1:25" s="23" customFormat="1" ht="26.25" x14ac:dyDescent="0.25">
      <c r="A213" s="131">
        <v>143</v>
      </c>
      <c r="B213" s="12" t="s">
        <v>260</v>
      </c>
      <c r="C213" s="12" t="s">
        <v>261</v>
      </c>
      <c r="D213" s="11">
        <v>15</v>
      </c>
      <c r="E213" s="13">
        <f>F213/15</f>
        <v>217</v>
      </c>
      <c r="F213" s="15">
        <v>3255</v>
      </c>
      <c r="G213" s="15">
        <v>0</v>
      </c>
      <c r="H213" s="15">
        <f>TRUNC(SUM(D213*E213)+G213,2)</f>
        <v>3255</v>
      </c>
      <c r="I213" s="16"/>
      <c r="J213" s="17">
        <v>0</v>
      </c>
      <c r="K213" s="17">
        <f>H213</f>
        <v>3255</v>
      </c>
      <c r="L213" s="17">
        <f>VLOOKUP(K213,Tarifa1,1)</f>
        <v>2077.5100000000002</v>
      </c>
      <c r="M213" s="17">
        <f>K213-L213</f>
        <v>1177.4899999999998</v>
      </c>
      <c r="N213" s="18">
        <f>VLOOKUP(K213,Tarifa1,3)</f>
        <v>0.10879999999999999</v>
      </c>
      <c r="O213" s="17">
        <f>M213*N213</f>
        <v>128.11091199999996</v>
      </c>
      <c r="P213" s="17">
        <f>VLOOKUP(K213,Tarifa1,2)</f>
        <v>121.95</v>
      </c>
      <c r="Q213" s="17">
        <f>O213+P213</f>
        <v>250.06091199999997</v>
      </c>
      <c r="R213" s="17">
        <f>VLOOKUP(K213,Credito1,2)</f>
        <v>125.1</v>
      </c>
      <c r="S213" s="17">
        <f>Q213-R213</f>
        <v>124.96091199999998</v>
      </c>
      <c r="T213" s="19"/>
      <c r="U213" s="15">
        <f>-IF(S213&gt;0,0,S213)</f>
        <v>0</v>
      </c>
      <c r="V213" s="20">
        <f>IF(S213&lt;0,0,S213)</f>
        <v>124.96091199999998</v>
      </c>
      <c r="W213" s="21">
        <v>0</v>
      </c>
      <c r="X213" s="15">
        <f>SUM(V213:W213)</f>
        <v>124.96091199999998</v>
      </c>
      <c r="Y213" s="22">
        <f>H213+U213-X213</f>
        <v>3130.039088</v>
      </c>
    </row>
    <row r="214" spans="1:25" s="23" customFormat="1" ht="26.25" x14ac:dyDescent="0.25">
      <c r="A214" s="132">
        <v>144</v>
      </c>
      <c r="B214" s="12" t="s">
        <v>262</v>
      </c>
      <c r="C214" s="12" t="s">
        <v>263</v>
      </c>
      <c r="D214" s="11">
        <v>15</v>
      </c>
      <c r="E214" s="13">
        <f>F214/15</f>
        <v>217</v>
      </c>
      <c r="F214" s="15">
        <v>3255</v>
      </c>
      <c r="G214" s="15">
        <v>0</v>
      </c>
      <c r="H214" s="15">
        <f>TRUNC(SUM(D214*E214)+G214,2)</f>
        <v>3255</v>
      </c>
      <c r="I214" s="16"/>
      <c r="J214" s="17">
        <v>0</v>
      </c>
      <c r="K214" s="17">
        <f>H214</f>
        <v>3255</v>
      </c>
      <c r="L214" s="17">
        <f>VLOOKUP(K214,Tarifa1,1)</f>
        <v>2077.5100000000002</v>
      </c>
      <c r="M214" s="17">
        <f>K214-L214</f>
        <v>1177.4899999999998</v>
      </c>
      <c r="N214" s="18">
        <f>VLOOKUP(K214,Tarifa1,3)</f>
        <v>0.10879999999999999</v>
      </c>
      <c r="O214" s="17">
        <f>M214*N214</f>
        <v>128.11091199999996</v>
      </c>
      <c r="P214" s="17">
        <f>VLOOKUP(K214,Tarifa1,2)</f>
        <v>121.95</v>
      </c>
      <c r="Q214" s="17">
        <f>O214+P214</f>
        <v>250.06091199999997</v>
      </c>
      <c r="R214" s="17">
        <f>VLOOKUP(K214,Credito1,2)</f>
        <v>125.1</v>
      </c>
      <c r="S214" s="17">
        <f>Q214-R214</f>
        <v>124.96091199999998</v>
      </c>
      <c r="T214" s="19"/>
      <c r="U214" s="15">
        <f>-IF(S214&gt;0,0,S214)</f>
        <v>0</v>
      </c>
      <c r="V214" s="20">
        <f>IF(S214&lt;0,0,S214)</f>
        <v>124.96091199999998</v>
      </c>
      <c r="W214" s="21">
        <v>0</v>
      </c>
      <c r="X214" s="15">
        <f>SUM(V214:W214)</f>
        <v>124.96091199999998</v>
      </c>
      <c r="Y214" s="22">
        <f>H214+U214-X214</f>
        <v>3130.039088</v>
      </c>
    </row>
    <row r="215" spans="1:25" s="23" customFormat="1" x14ac:dyDescent="0.25">
      <c r="A215" s="132">
        <v>145</v>
      </c>
      <c r="B215" s="12" t="s">
        <v>264</v>
      </c>
      <c r="C215" s="12" t="s">
        <v>265</v>
      </c>
      <c r="D215" s="11">
        <v>15</v>
      </c>
      <c r="E215" s="13">
        <f>F215/15</f>
        <v>133.66666666666666</v>
      </c>
      <c r="F215" s="15">
        <v>2005</v>
      </c>
      <c r="G215" s="15">
        <v>0</v>
      </c>
      <c r="H215" s="15">
        <f>TRUNC(SUM(D215*E215)+G215,2)</f>
        <v>2005</v>
      </c>
      <c r="I215" s="16"/>
      <c r="J215" s="17">
        <v>0</v>
      </c>
      <c r="K215" s="17">
        <f>H215</f>
        <v>2005</v>
      </c>
      <c r="L215" s="17">
        <f>VLOOKUP(K215,Tarifa1,1)</f>
        <v>244.81</v>
      </c>
      <c r="M215" s="17">
        <f>K215-L215</f>
        <v>1760.19</v>
      </c>
      <c r="N215" s="18">
        <f>VLOOKUP(K215,Tarifa1,3)</f>
        <v>6.4000000000000001E-2</v>
      </c>
      <c r="O215" s="17">
        <f>M215*N215</f>
        <v>112.65216000000001</v>
      </c>
      <c r="P215" s="17">
        <f>VLOOKUP(K215,Tarifa1,2)</f>
        <v>4.6500000000000004</v>
      </c>
      <c r="Q215" s="17">
        <f>O215+P215</f>
        <v>117.30216000000001</v>
      </c>
      <c r="R215" s="17">
        <f>VLOOKUP(K215,Credito1,2)</f>
        <v>188.7</v>
      </c>
      <c r="S215" s="17">
        <f>Q215-R215</f>
        <v>-71.397839999999974</v>
      </c>
      <c r="T215" s="19"/>
      <c r="U215" s="15">
        <f>-IF(S215&gt;0,0,S215)</f>
        <v>71.397839999999974</v>
      </c>
      <c r="V215" s="20">
        <f>IF(S215&lt;0,0,S215)</f>
        <v>0</v>
      </c>
      <c r="W215" s="21">
        <v>0</v>
      </c>
      <c r="X215" s="15">
        <f>SUM(V215:W215)</f>
        <v>0</v>
      </c>
      <c r="Y215" s="22">
        <f>H215+U215-X215</f>
        <v>2076.3978400000001</v>
      </c>
    </row>
    <row r="216" spans="1:25" s="23" customFormat="1" x14ac:dyDescent="0.25">
      <c r="A216" s="133">
        <v>146</v>
      </c>
      <c r="B216" s="12" t="s">
        <v>266</v>
      </c>
      <c r="C216" s="12" t="s">
        <v>263</v>
      </c>
      <c r="D216" s="11">
        <v>15</v>
      </c>
      <c r="E216" s="13">
        <f>F216/15</f>
        <v>133.66666666666666</v>
      </c>
      <c r="F216" s="15">
        <v>2005</v>
      </c>
      <c r="G216" s="15">
        <v>0</v>
      </c>
      <c r="H216" s="15">
        <f>TRUNC(SUM(D216*E216)+G216,2)</f>
        <v>2005</v>
      </c>
      <c r="I216" s="16"/>
      <c r="J216" s="17">
        <v>0</v>
      </c>
      <c r="K216" s="17">
        <f>H216</f>
        <v>2005</v>
      </c>
      <c r="L216" s="17">
        <f>VLOOKUP(K216,Tarifa1,1)</f>
        <v>244.81</v>
      </c>
      <c r="M216" s="17">
        <f>K216-L216</f>
        <v>1760.19</v>
      </c>
      <c r="N216" s="18">
        <f>VLOOKUP(K216,Tarifa1,3)</f>
        <v>6.4000000000000001E-2</v>
      </c>
      <c r="O216" s="17">
        <f>M216*N216</f>
        <v>112.65216000000001</v>
      </c>
      <c r="P216" s="17">
        <f>VLOOKUP(K216,Tarifa1,2)</f>
        <v>4.6500000000000004</v>
      </c>
      <c r="Q216" s="17">
        <f>O216+P216</f>
        <v>117.30216000000001</v>
      </c>
      <c r="R216" s="17">
        <f>VLOOKUP(K216,Credito1,2)</f>
        <v>188.7</v>
      </c>
      <c r="S216" s="17">
        <f>Q216-R216</f>
        <v>-71.397839999999974</v>
      </c>
      <c r="T216" s="19"/>
      <c r="U216" s="15">
        <f>-IF(S216&gt;0,0,S216)</f>
        <v>71.397839999999974</v>
      </c>
      <c r="V216" s="20">
        <f>IF(S216&lt;0,0,S216)</f>
        <v>0</v>
      </c>
      <c r="W216" s="21">
        <v>0</v>
      </c>
      <c r="X216" s="15">
        <f>SUM(V216:W216)</f>
        <v>0</v>
      </c>
      <c r="Y216" s="22">
        <f>H216+U216-X216</f>
        <v>2076.3978400000001</v>
      </c>
    </row>
    <row r="217" spans="1:25" s="23" customFormat="1" x14ac:dyDescent="0.25">
      <c r="A217" s="134"/>
      <c r="B217" s="53" t="s">
        <v>267</v>
      </c>
      <c r="C217" s="53"/>
      <c r="D217" s="54"/>
      <c r="E217" s="54"/>
      <c r="F217" s="54"/>
      <c r="G217" s="54"/>
      <c r="H217" s="54"/>
      <c r="I217" s="55"/>
      <c r="J217" s="54"/>
      <c r="K217" s="54"/>
      <c r="L217" s="54"/>
      <c r="M217" s="54"/>
      <c r="N217" s="54"/>
      <c r="O217" s="54"/>
      <c r="P217" s="54"/>
      <c r="Q217" s="54"/>
      <c r="R217" s="54"/>
      <c r="S217" s="55"/>
      <c r="T217" s="55"/>
      <c r="U217" s="54"/>
      <c r="V217" s="54"/>
      <c r="W217" s="54"/>
      <c r="X217" s="54"/>
      <c r="Y217" s="54"/>
    </row>
    <row r="218" spans="1:25" s="23" customFormat="1" x14ac:dyDescent="0.25">
      <c r="A218" s="126"/>
      <c r="B218" s="57"/>
      <c r="C218" s="57"/>
      <c r="D218" s="56"/>
      <c r="E218" s="56"/>
      <c r="F218" s="56"/>
      <c r="G218" s="56"/>
      <c r="H218" s="56"/>
      <c r="I218" s="58"/>
      <c r="J218" s="56"/>
      <c r="K218" s="56"/>
      <c r="L218" s="56"/>
      <c r="M218" s="56"/>
      <c r="N218" s="56"/>
      <c r="O218" s="56"/>
      <c r="P218" s="56"/>
      <c r="Q218" s="56"/>
      <c r="R218" s="56"/>
      <c r="S218" s="58"/>
      <c r="T218" s="58"/>
      <c r="U218" s="56"/>
      <c r="V218" s="56"/>
      <c r="W218" s="56"/>
      <c r="X218" s="56"/>
      <c r="Y218" s="56"/>
    </row>
    <row r="219" spans="1:25" s="23" customFormat="1" x14ac:dyDescent="0.25">
      <c r="A219" s="127">
        <v>147</v>
      </c>
      <c r="B219" s="12" t="s">
        <v>268</v>
      </c>
      <c r="C219" s="12" t="s">
        <v>269</v>
      </c>
      <c r="D219" s="11"/>
      <c r="E219" s="60"/>
      <c r="F219" s="14">
        <v>819.32</v>
      </c>
      <c r="G219" s="30">
        <v>0</v>
      </c>
      <c r="H219" s="39">
        <f>SUM(F219:G219)</f>
        <v>819.32</v>
      </c>
      <c r="I219" s="40"/>
      <c r="J219" s="41">
        <v>0</v>
      </c>
      <c r="K219" s="41">
        <f>F219+J219</f>
        <v>819.32</v>
      </c>
      <c r="L219" s="41">
        <f>VLOOKUP(K219,Tarifa1,1)</f>
        <v>244.81</v>
      </c>
      <c r="M219" s="41">
        <f>K219-L219</f>
        <v>574.51</v>
      </c>
      <c r="N219" s="42">
        <f>VLOOKUP(K219,Tarifa1,3)</f>
        <v>6.4000000000000001E-2</v>
      </c>
      <c r="O219" s="41">
        <f>M219*N219</f>
        <v>36.768639999999998</v>
      </c>
      <c r="P219" s="41">
        <f>VLOOKUP(K219,Tarifa1,2)</f>
        <v>4.6500000000000004</v>
      </c>
      <c r="Q219" s="41">
        <f>O219+P219</f>
        <v>41.418639999999996</v>
      </c>
      <c r="R219" s="41">
        <f>VLOOKUP(K219,Credito1,2)</f>
        <v>200.85</v>
      </c>
      <c r="S219" s="41">
        <f>Q219-R219</f>
        <v>-159.43135999999998</v>
      </c>
      <c r="T219" s="43"/>
      <c r="U219" s="39">
        <v>0</v>
      </c>
      <c r="V219" s="44">
        <f>IF(S219&lt;0,0,S219)</f>
        <v>0</v>
      </c>
      <c r="W219" s="45">
        <v>0</v>
      </c>
      <c r="X219" s="39">
        <f>SUM(V219:W219)</f>
        <v>0</v>
      </c>
      <c r="Y219" s="46">
        <f>H219+U219-X219</f>
        <v>819.32</v>
      </c>
    </row>
    <row r="220" spans="1:25" s="23" customFormat="1" x14ac:dyDescent="0.25">
      <c r="A220" s="127">
        <v>148</v>
      </c>
      <c r="B220" s="12" t="s">
        <v>270</v>
      </c>
      <c r="C220" s="12" t="s">
        <v>271</v>
      </c>
      <c r="D220" s="11"/>
      <c r="E220" s="60"/>
      <c r="F220" s="14">
        <v>1719.21</v>
      </c>
      <c r="G220" s="30">
        <v>0</v>
      </c>
      <c r="H220" s="39">
        <f>SUM(F220:G220)</f>
        <v>1719.21</v>
      </c>
      <c r="I220" s="40"/>
      <c r="J220" s="41">
        <v>0</v>
      </c>
      <c r="K220" s="41">
        <f>F220+J220</f>
        <v>1719.21</v>
      </c>
      <c r="L220" s="41">
        <f>VLOOKUP(K220,Tarifa1,1)</f>
        <v>244.81</v>
      </c>
      <c r="M220" s="41">
        <f>K220-L220</f>
        <v>1474.4</v>
      </c>
      <c r="N220" s="42">
        <f>VLOOKUP(K220,Tarifa1,3)</f>
        <v>6.4000000000000001E-2</v>
      </c>
      <c r="O220" s="41">
        <f>M220*N220</f>
        <v>94.36160000000001</v>
      </c>
      <c r="P220" s="41">
        <f>VLOOKUP(K220,Tarifa1,2)</f>
        <v>4.6500000000000004</v>
      </c>
      <c r="Q220" s="41">
        <f>O220+P220</f>
        <v>99.011600000000016</v>
      </c>
      <c r="R220" s="41">
        <f>VLOOKUP(K220,Credito1,2)</f>
        <v>193.8</v>
      </c>
      <c r="S220" s="41">
        <f>Q220-R220</f>
        <v>-94.788399999999996</v>
      </c>
      <c r="T220" s="43"/>
      <c r="U220" s="39">
        <v>0</v>
      </c>
      <c r="V220" s="44">
        <f>IF(S220&lt;0,0,S220)</f>
        <v>0</v>
      </c>
      <c r="W220" s="45">
        <v>0</v>
      </c>
      <c r="X220" s="39">
        <f>SUM(V220:W220)</f>
        <v>0</v>
      </c>
      <c r="Y220" s="46">
        <f>H220+U220-X220</f>
        <v>1719.21</v>
      </c>
    </row>
    <row r="221" spans="1:25" s="23" customFormat="1" x14ac:dyDescent="0.25">
      <c r="A221" s="127">
        <v>149</v>
      </c>
      <c r="B221" s="12" t="s">
        <v>272</v>
      </c>
      <c r="C221" s="12" t="s">
        <v>273</v>
      </c>
      <c r="D221" s="11"/>
      <c r="E221" s="60"/>
      <c r="F221" s="14">
        <v>2098.85</v>
      </c>
      <c r="G221" s="30">
        <v>0</v>
      </c>
      <c r="H221" s="39">
        <f>SUM(F221:G221)</f>
        <v>2098.85</v>
      </c>
      <c r="I221" s="40"/>
      <c r="J221" s="41">
        <v>0</v>
      </c>
      <c r="K221" s="41">
        <f>F221+J221</f>
        <v>2098.85</v>
      </c>
      <c r="L221" s="41">
        <f>VLOOKUP(K221,Tarifa1,1)</f>
        <v>2077.5100000000002</v>
      </c>
      <c r="M221" s="41">
        <f>K221-L221</f>
        <v>21.339999999999691</v>
      </c>
      <c r="N221" s="42">
        <f>VLOOKUP(K221,Tarifa1,3)</f>
        <v>0.10879999999999999</v>
      </c>
      <c r="O221" s="41">
        <f>M221*N221</f>
        <v>2.3217919999999661</v>
      </c>
      <c r="P221" s="41">
        <f>VLOOKUP(K221,Tarifa1,2)</f>
        <v>121.95</v>
      </c>
      <c r="Q221" s="41">
        <f>O221+P221</f>
        <v>124.27179199999996</v>
      </c>
      <c r="R221" s="41">
        <f>VLOOKUP(K221,Credito1,2)</f>
        <v>188.7</v>
      </c>
      <c r="S221" s="41">
        <f>Q221-R221</f>
        <v>-64.428208000000026</v>
      </c>
      <c r="T221" s="43"/>
      <c r="U221" s="39">
        <v>0</v>
      </c>
      <c r="V221" s="44">
        <f>IF(S221&lt;0,0,S221)</f>
        <v>0</v>
      </c>
      <c r="W221" s="45">
        <v>0</v>
      </c>
      <c r="X221" s="39">
        <f>SUM(V221:W221)</f>
        <v>0</v>
      </c>
      <c r="Y221" s="46">
        <f>H221+U221-X221</f>
        <v>2098.85</v>
      </c>
    </row>
    <row r="222" spans="1:25" s="23" customFormat="1" x14ac:dyDescent="0.25">
      <c r="A222" s="127">
        <v>150</v>
      </c>
      <c r="B222" s="12" t="s">
        <v>274</v>
      </c>
      <c r="C222" s="12" t="s">
        <v>125</v>
      </c>
      <c r="D222" s="11"/>
      <c r="E222" s="60"/>
      <c r="F222" s="14">
        <v>1964.73</v>
      </c>
      <c r="G222" s="30">
        <v>0</v>
      </c>
      <c r="H222" s="39">
        <f>SUM(F222:G222)</f>
        <v>1964.73</v>
      </c>
      <c r="I222" s="40"/>
      <c r="J222" s="41"/>
      <c r="K222" s="41"/>
      <c r="L222" s="41"/>
      <c r="M222" s="41"/>
      <c r="N222" s="42"/>
      <c r="O222" s="41"/>
      <c r="P222" s="41"/>
      <c r="Q222" s="41"/>
      <c r="R222" s="41"/>
      <c r="S222" s="41"/>
      <c r="T222" s="43"/>
      <c r="U222" s="39">
        <v>0</v>
      </c>
      <c r="V222" s="44"/>
      <c r="W222" s="45">
        <v>0</v>
      </c>
      <c r="X222" s="39">
        <f>SUM(V222:W222)</f>
        <v>0</v>
      </c>
      <c r="Y222" s="46">
        <f>H222+U222-X222</f>
        <v>1964.73</v>
      </c>
    </row>
  </sheetData>
  <sheetProtection algorithmName="SHA-512" hashValue="o0Jtm70UJt/Urvuq0PIhGQ0o3iv8Byk2P615rpZcFxXEKFkH9rSsT0Op5tzD34/5LfSrtal7zKeFPh3s4qaArQ==" saltValue="jSzLgGj196QN7oQUI6M2iQ==" spinCount="100000" sheet="1" objects="1" scenarios="1"/>
  <mergeCells count="7">
    <mergeCell ref="B6:D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2da mar-2016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2016-09-14T18:10:02Z</cp:lastPrinted>
  <dcterms:created xsi:type="dcterms:W3CDTF">2016-04-05T14:55:24Z</dcterms:created>
  <dcterms:modified xsi:type="dcterms:W3CDTF">2016-10-07T15:41:53Z</dcterms:modified>
</cp:coreProperties>
</file>